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-Adm-Contabilidad\Desktop\"/>
    </mc:Choice>
  </mc:AlternateContent>
  <xr:revisionPtr revIDLastSave="0" documentId="13_ncr:1_{1A66EE2D-3D4F-4D2A-A1FA-3AF7E9D462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teriales de oficina" sheetId="1" r:id="rId1"/>
    <sheet name="Materiales de limpiez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6" i="2"/>
  <c r="F11" i="2"/>
  <c r="F55" i="2"/>
  <c r="F50" i="2"/>
  <c r="F47" i="2"/>
  <c r="F45" i="2"/>
  <c r="F38" i="2"/>
  <c r="F31" i="2"/>
  <c r="F28" i="2"/>
  <c r="F26" i="2"/>
  <c r="F22" i="2"/>
  <c r="F21" i="2"/>
  <c r="F16" i="2"/>
  <c r="F17" i="2"/>
  <c r="F15" i="2"/>
  <c r="F95" i="1"/>
  <c r="F87" i="1"/>
  <c r="F74" i="1"/>
  <c r="F68" i="1"/>
  <c r="F65" i="1"/>
  <c r="F60" i="1"/>
  <c r="F59" i="1"/>
  <c r="F45" i="1"/>
  <c r="F26" i="1"/>
  <c r="F16" i="1"/>
  <c r="F15" i="1"/>
  <c r="F14" i="1"/>
  <c r="F11" i="1"/>
  <c r="F10" i="1"/>
  <c r="F94" i="1"/>
  <c r="F88" i="1"/>
  <c r="F71" i="1"/>
  <c r="F64" i="1"/>
  <c r="F32" i="1"/>
  <c r="F31" i="1"/>
  <c r="F13" i="1"/>
  <c r="F35" i="2"/>
  <c r="F49" i="2"/>
  <c r="F34" i="2"/>
  <c r="F35" i="1"/>
  <c r="F17" i="1"/>
  <c r="F90" i="1"/>
  <c r="F24" i="2"/>
  <c r="F46" i="2"/>
  <c r="F25" i="2"/>
  <c r="F20" i="2"/>
  <c r="F19" i="2"/>
  <c r="F14" i="2"/>
  <c r="F12" i="2"/>
  <c r="F10" i="2"/>
  <c r="F8" i="2"/>
  <c r="F9" i="2"/>
  <c r="F53" i="2"/>
  <c r="F92" i="1"/>
  <c r="F67" i="1"/>
  <c r="F57" i="1"/>
  <c r="F8" i="1"/>
  <c r="F27" i="2"/>
  <c r="F82" i="1"/>
  <c r="F73" i="1"/>
  <c r="F69" i="1"/>
  <c r="F44" i="1"/>
  <c r="F33" i="1"/>
  <c r="F30" i="1"/>
  <c r="F24" i="1"/>
  <c r="F21" i="1"/>
  <c r="F32" i="2"/>
  <c r="F51" i="2"/>
  <c r="F48" i="2"/>
  <c r="F37" i="2"/>
  <c r="F33" i="2"/>
  <c r="F23" i="2"/>
  <c r="F62" i="1"/>
  <c r="F49" i="1"/>
  <c r="F97" i="1"/>
  <c r="F89" i="1"/>
  <c r="F63" i="1"/>
  <c r="F51" i="1"/>
  <c r="F56" i="1"/>
  <c r="F54" i="1"/>
  <c r="F99" i="1"/>
  <c r="F77" i="1"/>
  <c r="F76" i="1"/>
  <c r="F75" i="1"/>
  <c r="F61" i="1"/>
  <c r="F55" i="1"/>
  <c r="F48" i="1"/>
  <c r="F47" i="1"/>
  <c r="F42" i="1"/>
  <c r="F34" i="1"/>
  <c r="F29" i="1"/>
  <c r="F23" i="1"/>
  <c r="F22" i="1"/>
  <c r="F50" i="1"/>
  <c r="F18" i="1"/>
  <c r="F52" i="1"/>
  <c r="F12" i="1"/>
  <c r="F52" i="2"/>
  <c r="F39" i="2"/>
  <c r="F30" i="2"/>
  <c r="F29" i="2"/>
  <c r="F13" i="2"/>
  <c r="F101" i="1"/>
  <c r="F100" i="1"/>
  <c r="F98" i="1"/>
  <c r="F96" i="1"/>
  <c r="F93" i="1"/>
  <c r="F86" i="1"/>
  <c r="F85" i="1"/>
  <c r="F83" i="1"/>
  <c r="F81" i="1"/>
  <c r="F70" i="1"/>
  <c r="F66" i="1"/>
  <c r="F58" i="1"/>
  <c r="F53" i="1"/>
  <c r="F46" i="1"/>
  <c r="F43" i="1"/>
  <c r="F27" i="1"/>
  <c r="F9" i="1"/>
  <c r="F57" i="2" l="1"/>
  <c r="F102" i="1"/>
</calcChain>
</file>

<file path=xl/sharedStrings.xml><?xml version="1.0" encoding="utf-8"?>
<sst xmlns="http://schemas.openxmlformats.org/spreadsheetml/2006/main" count="303" uniqueCount="157">
  <si>
    <t>Fecha De Adquisición</t>
  </si>
  <si>
    <t>Fecha de Registro</t>
  </si>
  <si>
    <t>Código Interno</t>
  </si>
  <si>
    <t>Descripción</t>
  </si>
  <si>
    <t>Existencia</t>
  </si>
  <si>
    <t>Valores RD$</t>
  </si>
  <si>
    <t>N/A</t>
  </si>
  <si>
    <t>Caja de Pendaflex</t>
  </si>
  <si>
    <t>Resma de Papel 81/2x11</t>
  </si>
  <si>
    <t>15/10/2021</t>
  </si>
  <si>
    <t>Resma Timbrada 81/2x11</t>
  </si>
  <si>
    <t xml:space="preserve">Resma Timbrada 81/2x11 hilo </t>
  </si>
  <si>
    <t>Resma Papel 81/2x14</t>
  </si>
  <si>
    <t xml:space="preserve"> 13/08/2020</t>
  </si>
  <si>
    <t xml:space="preserve">Paq. Papel carbón </t>
  </si>
  <si>
    <t>Caja de Folder 81/2x11</t>
  </si>
  <si>
    <t>Caja de Folder 81/2x14</t>
  </si>
  <si>
    <t xml:space="preserve">Caja de folder de colores </t>
  </si>
  <si>
    <t xml:space="preserve">Tóner hp 105A                 </t>
  </si>
  <si>
    <t>Tóner hp 541A</t>
  </si>
  <si>
    <t>Tóner hp 542A</t>
  </si>
  <si>
    <t>Tóner hp 603A</t>
  </si>
  <si>
    <t>Tóner hp 85A</t>
  </si>
  <si>
    <t>Tóner hp 55A</t>
  </si>
  <si>
    <t>Tóner hp 12A</t>
  </si>
  <si>
    <t>Tóner hp 83A</t>
  </si>
  <si>
    <t>Tóner XEROX 3655</t>
  </si>
  <si>
    <t>Tóner XEROX 6505</t>
  </si>
  <si>
    <t>Tóner Sharp</t>
  </si>
  <si>
    <t xml:space="preserve">Toner Hp 58 A </t>
  </si>
  <si>
    <t xml:space="preserve">Cartucho hp 61 color </t>
  </si>
  <si>
    <t xml:space="preserve">Cartucho hp 662 color </t>
  </si>
  <si>
    <t xml:space="preserve">Cartucho hp 662 negro </t>
  </si>
  <si>
    <t xml:space="preserve">Cartucho hp 670 Negro </t>
  </si>
  <si>
    <t xml:space="preserve">Cartucho hp 664 negro </t>
  </si>
  <si>
    <t xml:space="preserve">Cartucho hp 664 color </t>
  </si>
  <si>
    <t>Juego de tinta EPSON (Negra, Cian, Magenta y Amarrilla)</t>
  </si>
  <si>
    <t xml:space="preserve">Docena Lápiz </t>
  </si>
  <si>
    <t xml:space="preserve">Saca puntas </t>
  </si>
  <si>
    <t>Rollo Sumadora</t>
  </si>
  <si>
    <t xml:space="preserve">Borras </t>
  </si>
  <si>
    <t xml:space="preserve">Caja Hembra y Macho </t>
  </si>
  <si>
    <t>Dvds 50/1</t>
  </si>
  <si>
    <t>Paq. De CDS 50/1</t>
  </si>
  <si>
    <t>Liquid Paper</t>
  </si>
  <si>
    <t>Cinta TIO 1/12</t>
  </si>
  <si>
    <t>Cinta Adhesiva</t>
  </si>
  <si>
    <t>Cinta Epson Xl 300</t>
  </si>
  <si>
    <t>Cinta Brother</t>
  </si>
  <si>
    <t xml:space="preserve">Grapadora </t>
  </si>
  <si>
    <t xml:space="preserve">Saca Grapa </t>
  </si>
  <si>
    <t xml:space="preserve">Cajas de grapa </t>
  </si>
  <si>
    <t xml:space="preserve">Perforadora </t>
  </si>
  <si>
    <t xml:space="preserve">Dispensador de cinta </t>
  </si>
  <si>
    <t>Cajas de Gomita</t>
  </si>
  <si>
    <t>Tijera</t>
  </si>
  <si>
    <t>Libreta Grande</t>
  </si>
  <si>
    <t xml:space="preserve">Libreta pequeña </t>
  </si>
  <si>
    <t xml:space="preserve">Caja de bolígrafo </t>
  </si>
  <si>
    <t xml:space="preserve">Caja de Marcadores permanente </t>
  </si>
  <si>
    <t>Caja Marcadores de pizarra 12/1</t>
  </si>
  <si>
    <t>Caja de Resaltadores 12/1</t>
  </si>
  <si>
    <t>Caja de Sobre Manila 9x12</t>
  </si>
  <si>
    <t>Caja de Sobre Manila 10x13</t>
  </si>
  <si>
    <t>Record</t>
  </si>
  <si>
    <t>Caja Clip Billetera 51 mm 1/12</t>
  </si>
  <si>
    <t>Caja Clip Billetera 25 mm 1/12</t>
  </si>
  <si>
    <t>Caja Clip Billetera 32 mm</t>
  </si>
  <si>
    <t>Porta Clip</t>
  </si>
  <si>
    <t>Caja de Clip</t>
  </si>
  <si>
    <t>Caja Sobre de carta timbrado</t>
  </si>
  <si>
    <t>Postic de color</t>
  </si>
  <si>
    <t>Postic</t>
  </si>
  <si>
    <t>Ficha 6x4</t>
  </si>
  <si>
    <t xml:space="preserve">Porta Lápiz </t>
  </si>
  <si>
    <t xml:space="preserve">Caja de Label </t>
  </si>
  <si>
    <t>Papel para encuadernar</t>
  </si>
  <si>
    <t>Espiral para encuadernar 12mm</t>
  </si>
  <si>
    <t>Espiral para encuadernar 14mm</t>
  </si>
  <si>
    <t xml:space="preserve">Tinta de sello </t>
  </si>
  <si>
    <t xml:space="preserve">Almohadilla para sello </t>
  </si>
  <si>
    <t>Paq. Divisores</t>
  </si>
  <si>
    <t xml:space="preserve">Chincheta de colores </t>
  </si>
  <si>
    <t xml:space="preserve">Porta tarjeta </t>
  </si>
  <si>
    <t xml:space="preserve">Tabla con gancho </t>
  </si>
  <si>
    <t xml:space="preserve">Juego de reglas </t>
  </si>
  <si>
    <t xml:space="preserve">Calculadora </t>
  </si>
  <si>
    <t>04//02/2022</t>
  </si>
  <si>
    <t xml:space="preserve">Bloque de comprobante de caja chica </t>
  </si>
  <si>
    <t xml:space="preserve">Bloque de autorización desembolso de caja chica </t>
  </si>
  <si>
    <t xml:space="preserve">Total </t>
  </si>
  <si>
    <t>Sobre de carta blanco 500/1</t>
  </si>
  <si>
    <t xml:space="preserve">Materiales de Limpieza </t>
  </si>
  <si>
    <t>Papel Higiénico 12/1</t>
  </si>
  <si>
    <t>Papel Toalla de Baño 6/1</t>
  </si>
  <si>
    <t>Papel Toalla de cocina 24/1</t>
  </si>
  <si>
    <t>Paq. De servilleta 10/1 500/1</t>
  </si>
  <si>
    <t>Faldo de servilleta rectangular 30/100/1</t>
  </si>
  <si>
    <t>Paq. De vaso #5 50/1</t>
  </si>
  <si>
    <t>Paq. De vaso #10 50/1</t>
  </si>
  <si>
    <t xml:space="preserve"> </t>
  </si>
  <si>
    <t>Caja Ambientadores 12/1</t>
  </si>
  <si>
    <t>Gl. De la Lavaplatos</t>
  </si>
  <si>
    <t>Gl. De Lavamanos</t>
  </si>
  <si>
    <t>Gl. De Limpiacristales</t>
  </si>
  <si>
    <t xml:space="preserve">Gl. De Limpiador Profundo </t>
  </si>
  <si>
    <t>Gl. De Cloro</t>
  </si>
  <si>
    <t>Saco de Ace 30 Lb</t>
  </si>
  <si>
    <t>Gl. De Mistolin</t>
  </si>
  <si>
    <t>Gl. De Shampoo para carro</t>
  </si>
  <si>
    <t xml:space="preserve">Agua de bateria </t>
  </si>
  <si>
    <t>Gl. Amorol para vehículo</t>
  </si>
  <si>
    <t>Gl. De Desgrasante</t>
  </si>
  <si>
    <t>Gl. De Gel Antibacterial</t>
  </si>
  <si>
    <t>Gl. Alcohol</t>
  </si>
  <si>
    <t>Suape #36</t>
  </si>
  <si>
    <t>Escoba</t>
  </si>
  <si>
    <t>Brillo Gordo</t>
  </si>
  <si>
    <t>Esponja de Fregar</t>
  </si>
  <si>
    <t>Paq. Funda de 55 Gl 100/1</t>
  </si>
  <si>
    <t>Paq. Funda de 30 Gl 100/1</t>
  </si>
  <si>
    <t>Caja de Guante Desechable</t>
  </si>
  <si>
    <t>Pares de guantes</t>
  </si>
  <si>
    <t xml:space="preserve">Toallas </t>
  </si>
  <si>
    <t>Lanilla</t>
  </si>
  <si>
    <t>Cubeta</t>
  </si>
  <si>
    <t>Escobilla</t>
  </si>
  <si>
    <t>Pastilla de Inodoro</t>
  </si>
  <si>
    <t>Dispensador papel toalla de mano</t>
  </si>
  <si>
    <t xml:space="preserve">Materiales de Oficina </t>
  </si>
  <si>
    <t xml:space="preserve">Plato desechable c/tapa </t>
  </si>
  <si>
    <t>Papel Aluminio</t>
  </si>
  <si>
    <t>Recogedor de Basura</t>
  </si>
  <si>
    <t>Plato  Llano</t>
  </si>
  <si>
    <t>Bandeja de Escritorio Agrilico</t>
  </si>
  <si>
    <t>Bandeja de folder Hierro</t>
  </si>
  <si>
    <t>Sobre Carta Crema Hilo 5*7</t>
  </si>
  <si>
    <t xml:space="preserve">Sobre Carta 5*7 Blanco Hilo </t>
  </si>
  <si>
    <t xml:space="preserve">Sobre Carta Hilo Crema 3*6 </t>
  </si>
  <si>
    <t>Brillo Fino</t>
  </si>
  <si>
    <t>Jabon de Cuaba en Pasta 5/1</t>
  </si>
  <si>
    <t>Espiral para encuadernar 5/8mm</t>
  </si>
  <si>
    <t>Jose Yvan Castro Ramirez</t>
  </si>
  <si>
    <t>Supervisor Almacen</t>
  </si>
  <si>
    <t xml:space="preserve">                                                                                       </t>
  </si>
  <si>
    <t>Caja Ambientadores Glade 6/1</t>
  </si>
  <si>
    <t>27/10/2023</t>
  </si>
  <si>
    <t>Paqute de fundas de 8/galones</t>
  </si>
  <si>
    <t>1.5</t>
  </si>
  <si>
    <t>Inventario de  Octubre Noviembre y Diciembre  2023</t>
  </si>
  <si>
    <t>Inventario de Almacen Octubre, Noviembre y Diciembre 2023</t>
  </si>
  <si>
    <t xml:space="preserve">     </t>
  </si>
  <si>
    <t>Espirales para encuadernar 9/16</t>
  </si>
  <si>
    <t>Ambientador automatico 6/1</t>
  </si>
  <si>
    <t>n/a</t>
  </si>
  <si>
    <t>Brillo Verde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</si>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</sst>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9C57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 wrapText="1"/>
    </xf>
    <xf numFmtId="43" fontId="0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1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right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0" xfId="2" applyFont="1"/>
    <xf numFmtId="43" fontId="10" fillId="2" borderId="0" xfId="2" applyNumberFormat="1" applyFont="1"/>
    <xf numFmtId="0" fontId="5" fillId="0" borderId="0" xfId="0" applyFont="1" applyAlignment="1">
      <alignment horizontal="right"/>
    </xf>
    <xf numFmtId="12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3" fontId="5" fillId="0" borderId="2" xfId="1" applyFont="1" applyBorder="1" applyAlignment="1">
      <alignment horizontal="right" vertical="center" wrapText="1"/>
    </xf>
    <xf numFmtId="0" fontId="10" fillId="2" borderId="0" xfId="2" applyFont="1" applyAlignment="1">
      <alignment horizontal="center"/>
    </xf>
    <xf numFmtId="43" fontId="10" fillId="2" borderId="0" xfId="2" applyNumberFormat="1" applyFont="1" applyAlignment="1">
      <alignment horizontal="right"/>
    </xf>
    <xf numFmtId="14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3" fontId="5" fillId="0" borderId="3" xfId="1" applyFont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3" fontId="5" fillId="0" borderId="4" xfId="1" applyFont="1" applyBorder="1" applyAlignment="1">
      <alignment horizontal="right" vertical="center" wrapText="1"/>
    </xf>
    <xf numFmtId="0" fontId="8" fillId="6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</cellXfs>
  <cellStyles count="3">
    <cellStyle name="Millares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opLeftCell="A16" workbookViewId="0">
      <selection activeCell="E29" sqref="E29"/>
    </sheetView>
  </sheetViews>
  <sheetFormatPr baseColWidth="10" defaultRowHeight="15" x14ac:dyDescent="0.25"/>
  <cols>
    <col min="1" max="1" width="11.5703125" style="5" customWidth="1"/>
    <col min="2" max="2" width="11.85546875" style="5" customWidth="1"/>
    <col min="3" max="3" width="9.85546875" customWidth="1"/>
    <col min="4" max="4" width="18.28515625" customWidth="1"/>
    <col min="5" max="5" width="10" customWidth="1"/>
    <col min="6" max="6" width="11.85546875" bestFit="1" customWidth="1"/>
    <col min="10" max="10" width="11.85546875" bestFit="1" customWidth="1"/>
  </cols>
  <sheetData>
    <row r="1" spans="1:10" x14ac:dyDescent="0.25">
      <c r="A1" s="13"/>
      <c r="B1" s="13"/>
      <c r="C1" s="14"/>
      <c r="D1" s="14"/>
      <c r="E1" s="14"/>
      <c r="F1" s="14"/>
    </row>
    <row r="2" spans="1:10" x14ac:dyDescent="0.25">
      <c r="A2" s="13"/>
      <c r="B2" s="13"/>
      <c r="C2" s="14"/>
      <c r="D2" s="14"/>
      <c r="E2" s="14"/>
      <c r="F2" s="14"/>
    </row>
    <row r="3" spans="1:10" x14ac:dyDescent="0.25">
      <c r="A3" s="13"/>
      <c r="B3" s="13"/>
      <c r="C3" s="14"/>
      <c r="D3" s="14"/>
      <c r="E3" s="14"/>
      <c r="F3" s="14"/>
    </row>
    <row r="4" spans="1:10" x14ac:dyDescent="0.25">
      <c r="A4" s="13"/>
      <c r="B4" s="13"/>
      <c r="C4" s="14"/>
      <c r="D4" s="14"/>
      <c r="E4" s="14"/>
      <c r="F4" s="14"/>
    </row>
    <row r="5" spans="1:10" ht="15.75" x14ac:dyDescent="0.25">
      <c r="A5" s="54" t="s">
        <v>150</v>
      </c>
      <c r="B5" s="54"/>
      <c r="C5" s="54"/>
      <c r="D5" s="54"/>
      <c r="E5" s="54"/>
      <c r="F5" s="54"/>
    </row>
    <row r="6" spans="1:10" ht="15.75" x14ac:dyDescent="0.25">
      <c r="A6" s="55" t="s">
        <v>129</v>
      </c>
      <c r="B6" s="55"/>
      <c r="C6" s="55"/>
      <c r="D6" s="55"/>
      <c r="E6" s="55"/>
      <c r="F6" s="55"/>
    </row>
    <row r="7" spans="1:10" ht="25.5" x14ac:dyDescent="0.25">
      <c r="A7" s="15" t="s">
        <v>0</v>
      </c>
      <c r="B7" s="16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J7" s="1"/>
    </row>
    <row r="8" spans="1:10" ht="19.5" customHeight="1" x14ac:dyDescent="0.25">
      <c r="A8" s="17">
        <v>44438</v>
      </c>
      <c r="B8" s="17">
        <v>44075</v>
      </c>
      <c r="C8" s="18" t="s">
        <v>6</v>
      </c>
      <c r="D8" s="19" t="s">
        <v>7</v>
      </c>
      <c r="E8" s="18">
        <v>7</v>
      </c>
      <c r="F8" s="20">
        <f>735.29*7</f>
        <v>5147.03</v>
      </c>
      <c r="J8" s="2"/>
    </row>
    <row r="9" spans="1:10" ht="25.5" x14ac:dyDescent="0.25">
      <c r="A9" s="21">
        <v>44720</v>
      </c>
      <c r="B9" s="21">
        <v>44721</v>
      </c>
      <c r="C9" s="22" t="s">
        <v>6</v>
      </c>
      <c r="D9" s="9" t="s">
        <v>8</v>
      </c>
      <c r="E9" s="22">
        <v>20</v>
      </c>
      <c r="F9" s="23">
        <f>255*E9</f>
        <v>5100</v>
      </c>
      <c r="J9" s="2"/>
    </row>
    <row r="10" spans="1:10" ht="25.5" x14ac:dyDescent="0.25">
      <c r="A10" s="21">
        <v>44470</v>
      </c>
      <c r="B10" s="24" t="s">
        <v>9</v>
      </c>
      <c r="C10" s="22" t="s">
        <v>6</v>
      </c>
      <c r="D10" s="9" t="s">
        <v>10</v>
      </c>
      <c r="E10" s="22">
        <v>17</v>
      </c>
      <c r="F10" s="23">
        <f>995*17</f>
        <v>16915</v>
      </c>
      <c r="J10" s="2"/>
    </row>
    <row r="11" spans="1:10" ht="25.5" x14ac:dyDescent="0.25">
      <c r="A11" s="21">
        <v>44286</v>
      </c>
      <c r="B11" s="21">
        <v>44292</v>
      </c>
      <c r="C11" s="22" t="s">
        <v>6</v>
      </c>
      <c r="D11" s="9" t="s">
        <v>11</v>
      </c>
      <c r="E11" s="22">
        <v>8</v>
      </c>
      <c r="F11" s="23">
        <f>1350*8</f>
        <v>10800</v>
      </c>
      <c r="J11" s="2"/>
    </row>
    <row r="12" spans="1:10" x14ac:dyDescent="0.25">
      <c r="A12" s="21" t="s">
        <v>151</v>
      </c>
      <c r="B12" s="21">
        <v>44721</v>
      </c>
      <c r="C12" s="22" t="s">
        <v>6</v>
      </c>
      <c r="D12" s="9" t="s">
        <v>12</v>
      </c>
      <c r="E12" s="22">
        <v>4</v>
      </c>
      <c r="F12" s="23">
        <f>289*E12</f>
        <v>1156</v>
      </c>
      <c r="J12" s="2"/>
    </row>
    <row r="13" spans="1:10" ht="20.25" customHeight="1" x14ac:dyDescent="0.25">
      <c r="A13" s="21" t="s">
        <v>13</v>
      </c>
      <c r="B13" s="21">
        <v>44056</v>
      </c>
      <c r="C13" s="22" t="s">
        <v>6</v>
      </c>
      <c r="D13" s="9" t="s">
        <v>14</v>
      </c>
      <c r="E13" s="22">
        <v>2</v>
      </c>
      <c r="F13" s="23">
        <f>250*2</f>
        <v>500</v>
      </c>
      <c r="J13" s="2"/>
    </row>
    <row r="14" spans="1:10" ht="25.5" x14ac:dyDescent="0.25">
      <c r="A14" s="21">
        <v>44438</v>
      </c>
      <c r="B14" s="21">
        <v>44075</v>
      </c>
      <c r="C14" s="22" t="s">
        <v>6</v>
      </c>
      <c r="D14" s="9" t="s">
        <v>15</v>
      </c>
      <c r="E14" s="22">
        <v>13</v>
      </c>
      <c r="F14" s="23">
        <f>300*13</f>
        <v>3900</v>
      </c>
      <c r="J14" s="2"/>
    </row>
    <row r="15" spans="1:10" ht="25.5" x14ac:dyDescent="0.25">
      <c r="A15" s="21">
        <v>45105</v>
      </c>
      <c r="B15" s="21">
        <v>45105</v>
      </c>
      <c r="C15" s="22" t="s">
        <v>6</v>
      </c>
      <c r="D15" s="9" t="s">
        <v>16</v>
      </c>
      <c r="E15" s="22">
        <v>1.5</v>
      </c>
      <c r="F15" s="23">
        <f>335.59*1.5</f>
        <v>503.38499999999999</v>
      </c>
      <c r="J15" s="2"/>
    </row>
    <row r="16" spans="1:10" ht="25.5" x14ac:dyDescent="0.25">
      <c r="A16" s="21">
        <v>45105</v>
      </c>
      <c r="B16" s="21">
        <v>45105</v>
      </c>
      <c r="C16" s="22" t="s">
        <v>6</v>
      </c>
      <c r="D16" s="9" t="s">
        <v>17</v>
      </c>
      <c r="E16" s="22">
        <v>3</v>
      </c>
      <c r="F16" s="23">
        <f>584.75*3</f>
        <v>1754.25</v>
      </c>
      <c r="J16" s="2"/>
    </row>
    <row r="17" spans="1:10" x14ac:dyDescent="0.25">
      <c r="A17" s="21">
        <v>45224</v>
      </c>
      <c r="B17" s="21">
        <v>45226</v>
      </c>
      <c r="C17" s="22" t="s">
        <v>6</v>
      </c>
      <c r="D17" s="9" t="s">
        <v>18</v>
      </c>
      <c r="E17" s="22">
        <v>6</v>
      </c>
      <c r="F17" s="23">
        <f>2695*E17</f>
        <v>16170</v>
      </c>
      <c r="J17" s="2"/>
    </row>
    <row r="18" spans="1:10" x14ac:dyDescent="0.25">
      <c r="A18" s="21">
        <v>43749</v>
      </c>
      <c r="B18" s="21">
        <v>43749</v>
      </c>
      <c r="C18" s="22" t="s">
        <v>6</v>
      </c>
      <c r="D18" s="9" t="s">
        <v>19</v>
      </c>
      <c r="E18" s="22">
        <v>1</v>
      </c>
      <c r="F18" s="23">
        <f>2500*1</f>
        <v>2500</v>
      </c>
      <c r="J18" s="2"/>
    </row>
    <row r="19" spans="1:10" x14ac:dyDescent="0.25">
      <c r="A19" s="21">
        <v>43749</v>
      </c>
      <c r="B19" s="21">
        <v>43749</v>
      </c>
      <c r="C19" s="22" t="s">
        <v>6</v>
      </c>
      <c r="D19" s="9" t="s">
        <v>20</v>
      </c>
      <c r="E19" s="22">
        <v>1</v>
      </c>
      <c r="F19" s="23">
        <v>2500</v>
      </c>
      <c r="J19" s="2"/>
    </row>
    <row r="20" spans="1:10" x14ac:dyDescent="0.25">
      <c r="A20" s="21">
        <v>43749</v>
      </c>
      <c r="B20" s="21">
        <v>43749</v>
      </c>
      <c r="C20" s="22" t="s">
        <v>6</v>
      </c>
      <c r="D20" s="9" t="s">
        <v>21</v>
      </c>
      <c r="E20" s="22">
        <v>1</v>
      </c>
      <c r="F20" s="23">
        <v>2500</v>
      </c>
      <c r="J20" s="2"/>
    </row>
    <row r="21" spans="1:10" x14ac:dyDescent="0.25">
      <c r="A21" s="21">
        <v>44509</v>
      </c>
      <c r="B21" s="21">
        <v>44518</v>
      </c>
      <c r="C21" s="22" t="s">
        <v>6</v>
      </c>
      <c r="D21" s="9" t="s">
        <v>22</v>
      </c>
      <c r="E21" s="22">
        <v>3</v>
      </c>
      <c r="F21" s="23">
        <f>2796.61*E21</f>
        <v>8389.83</v>
      </c>
      <c r="J21" s="2"/>
    </row>
    <row r="22" spans="1:10" x14ac:dyDescent="0.25">
      <c r="A22" s="21">
        <v>44986</v>
      </c>
      <c r="B22" s="21">
        <v>44988</v>
      </c>
      <c r="C22" s="22" t="s">
        <v>6</v>
      </c>
      <c r="D22" s="9" t="s">
        <v>23</v>
      </c>
      <c r="E22" s="22">
        <v>2</v>
      </c>
      <c r="F22" s="23">
        <f>2*8590</f>
        <v>17180</v>
      </c>
      <c r="J22" s="2"/>
    </row>
    <row r="23" spans="1:10" x14ac:dyDescent="0.25">
      <c r="A23" s="21">
        <v>44026</v>
      </c>
      <c r="B23" s="21">
        <v>43996</v>
      </c>
      <c r="C23" s="22" t="s">
        <v>6</v>
      </c>
      <c r="D23" s="9" t="s">
        <v>24</v>
      </c>
      <c r="E23" s="22">
        <v>2</v>
      </c>
      <c r="F23" s="23">
        <f>3010*2</f>
        <v>6020</v>
      </c>
      <c r="J23" s="2"/>
    </row>
    <row r="24" spans="1:10" x14ac:dyDescent="0.25">
      <c r="A24" s="21">
        <v>44986</v>
      </c>
      <c r="B24" s="21">
        <v>44988</v>
      </c>
      <c r="C24" s="22" t="s">
        <v>6</v>
      </c>
      <c r="D24" s="9" t="s">
        <v>25</v>
      </c>
      <c r="E24" s="22">
        <v>2</v>
      </c>
      <c r="F24" s="23">
        <f>2796.61*2</f>
        <v>5593.22</v>
      </c>
      <c r="J24" s="2"/>
    </row>
    <row r="25" spans="1:10" ht="14.25" customHeight="1" x14ac:dyDescent="0.25">
      <c r="A25" s="21">
        <v>44616</v>
      </c>
      <c r="B25" s="21">
        <v>44617</v>
      </c>
      <c r="C25" s="22" t="s">
        <v>6</v>
      </c>
      <c r="D25" s="9" t="s">
        <v>26</v>
      </c>
      <c r="E25" s="22">
        <v>1</v>
      </c>
      <c r="F25" s="23">
        <v>8400</v>
      </c>
      <c r="J25" s="2"/>
    </row>
    <row r="26" spans="1:10" ht="18" customHeight="1" x14ac:dyDescent="0.25">
      <c r="A26" s="21">
        <v>44028</v>
      </c>
      <c r="B26" s="21">
        <v>44351</v>
      </c>
      <c r="C26" s="22" t="s">
        <v>6</v>
      </c>
      <c r="D26" s="9" t="s">
        <v>27</v>
      </c>
      <c r="E26" s="22">
        <v>15</v>
      </c>
      <c r="F26" s="23">
        <f>2400*15</f>
        <v>36000</v>
      </c>
      <c r="J26" s="2"/>
    </row>
    <row r="27" spans="1:10" x14ac:dyDescent="0.25">
      <c r="A27" s="21">
        <v>44028</v>
      </c>
      <c r="B27" s="21">
        <v>44351</v>
      </c>
      <c r="C27" s="22" t="s">
        <v>6</v>
      </c>
      <c r="D27" s="9" t="s">
        <v>28</v>
      </c>
      <c r="E27" s="22">
        <v>1</v>
      </c>
      <c r="F27" s="25">
        <f>3455</f>
        <v>3455</v>
      </c>
      <c r="J27" s="3"/>
    </row>
    <row r="28" spans="1:10" ht="18" customHeight="1" x14ac:dyDescent="0.25">
      <c r="A28" s="21">
        <v>44986</v>
      </c>
      <c r="B28" s="21">
        <v>44988</v>
      </c>
      <c r="C28" s="22" t="s">
        <v>6</v>
      </c>
      <c r="D28" s="9" t="s">
        <v>29</v>
      </c>
      <c r="E28" s="22">
        <v>1</v>
      </c>
      <c r="F28" s="23">
        <f>1*7097.46</f>
        <v>7097.46</v>
      </c>
      <c r="J28" s="2"/>
    </row>
    <row r="29" spans="1:10" x14ac:dyDescent="0.25">
      <c r="A29" s="21">
        <v>45098</v>
      </c>
      <c r="B29" s="21">
        <v>45098</v>
      </c>
      <c r="C29" s="22" t="s">
        <v>6</v>
      </c>
      <c r="D29" s="9" t="s">
        <v>30</v>
      </c>
      <c r="E29" s="22">
        <v>2</v>
      </c>
      <c r="F29" s="23">
        <f>950*2</f>
        <v>1900</v>
      </c>
      <c r="J29" s="2"/>
    </row>
    <row r="30" spans="1:10" ht="25.5" x14ac:dyDescent="0.25">
      <c r="A30" s="21">
        <v>45105</v>
      </c>
      <c r="B30" s="21">
        <v>45105</v>
      </c>
      <c r="C30" s="22" t="s">
        <v>6</v>
      </c>
      <c r="D30" s="9" t="s">
        <v>31</v>
      </c>
      <c r="E30" s="22">
        <v>3</v>
      </c>
      <c r="F30" s="23">
        <f>1580*3</f>
        <v>4740</v>
      </c>
      <c r="J30" s="2"/>
    </row>
    <row r="31" spans="1:10" ht="25.5" x14ac:dyDescent="0.25">
      <c r="A31" s="21">
        <v>45105</v>
      </c>
      <c r="B31" s="21">
        <v>45105</v>
      </c>
      <c r="C31" s="22" t="s">
        <v>6</v>
      </c>
      <c r="D31" s="9" t="s">
        <v>32</v>
      </c>
      <c r="E31" s="22">
        <v>4</v>
      </c>
      <c r="F31" s="23">
        <f>4*1590</f>
        <v>6360</v>
      </c>
      <c r="J31" s="2"/>
    </row>
    <row r="32" spans="1:10" ht="25.5" x14ac:dyDescent="0.25">
      <c r="A32" s="21">
        <v>45098</v>
      </c>
      <c r="B32" s="21">
        <v>45098</v>
      </c>
      <c r="C32" s="22" t="s">
        <v>6</v>
      </c>
      <c r="D32" s="9" t="s">
        <v>33</v>
      </c>
      <c r="E32" s="22">
        <v>2</v>
      </c>
      <c r="F32" s="23">
        <f>2*1450</f>
        <v>2900</v>
      </c>
      <c r="J32" s="2"/>
    </row>
    <row r="33" spans="1:10" ht="25.5" x14ac:dyDescent="0.25">
      <c r="A33" s="21">
        <v>45105</v>
      </c>
      <c r="B33" s="21">
        <v>45105</v>
      </c>
      <c r="C33" s="22" t="s">
        <v>6</v>
      </c>
      <c r="D33" s="9" t="s">
        <v>34</v>
      </c>
      <c r="E33" s="22">
        <v>6</v>
      </c>
      <c r="F33" s="23">
        <f>2190*E33</f>
        <v>13140</v>
      </c>
      <c r="J33" s="2"/>
    </row>
    <row r="34" spans="1:10" ht="25.5" x14ac:dyDescent="0.25">
      <c r="A34" s="21">
        <v>45105</v>
      </c>
      <c r="B34" s="21">
        <v>45105</v>
      </c>
      <c r="C34" s="22" t="s">
        <v>6</v>
      </c>
      <c r="D34" s="9" t="s">
        <v>35</v>
      </c>
      <c r="E34" s="22">
        <v>8</v>
      </c>
      <c r="F34" s="23">
        <f>1990*E34</f>
        <v>15920</v>
      </c>
      <c r="J34" s="2"/>
    </row>
    <row r="35" spans="1:10" ht="38.25" x14ac:dyDescent="0.25">
      <c r="A35" s="21">
        <v>45224</v>
      </c>
      <c r="B35" s="21">
        <v>45226</v>
      </c>
      <c r="C35" s="22" t="s">
        <v>6</v>
      </c>
      <c r="D35" s="9" t="s">
        <v>36</v>
      </c>
      <c r="E35" s="22">
        <v>38</v>
      </c>
      <c r="F35" s="23">
        <f>E35*1080</f>
        <v>41040</v>
      </c>
      <c r="J35" s="2"/>
    </row>
    <row r="36" spans="1:10" x14ac:dyDescent="0.25">
      <c r="A36" s="26"/>
      <c r="B36" s="26"/>
      <c r="C36" s="27"/>
      <c r="D36" s="12"/>
      <c r="E36" s="27"/>
      <c r="F36" s="28"/>
      <c r="J36" s="2"/>
    </row>
    <row r="37" spans="1:10" x14ac:dyDescent="0.25">
      <c r="A37" s="26"/>
      <c r="B37" s="26"/>
      <c r="C37" s="27"/>
      <c r="D37" s="12"/>
      <c r="E37" s="27"/>
      <c r="F37" s="28"/>
      <c r="J37" s="2"/>
    </row>
    <row r="38" spans="1:10" x14ac:dyDescent="0.25">
      <c r="A38" s="26"/>
      <c r="B38" s="26"/>
      <c r="C38" s="27"/>
      <c r="D38" s="12"/>
      <c r="E38" s="27"/>
      <c r="F38" s="28"/>
      <c r="J38" s="2"/>
    </row>
    <row r="39" spans="1:10" x14ac:dyDescent="0.25">
      <c r="A39" s="26"/>
      <c r="B39" s="26"/>
      <c r="C39" s="27"/>
      <c r="D39" s="12"/>
      <c r="E39" s="27"/>
      <c r="F39" s="28"/>
      <c r="J39" s="2"/>
    </row>
    <row r="40" spans="1:10" x14ac:dyDescent="0.25">
      <c r="A40" s="26"/>
      <c r="B40" s="26"/>
      <c r="C40" s="27"/>
      <c r="D40" s="12"/>
      <c r="E40" s="27"/>
      <c r="F40" s="28"/>
      <c r="J40" s="2"/>
    </row>
    <row r="41" spans="1:10" x14ac:dyDescent="0.25">
      <c r="A41" s="50"/>
      <c r="B41" s="50"/>
      <c r="C41" s="51"/>
      <c r="D41" s="52"/>
      <c r="E41" s="51"/>
      <c r="F41" s="53"/>
      <c r="J41" s="2"/>
    </row>
    <row r="42" spans="1:10" x14ac:dyDescent="0.25">
      <c r="A42" s="47">
        <v>44046</v>
      </c>
      <c r="B42" s="47">
        <v>44047</v>
      </c>
      <c r="C42" s="33" t="s">
        <v>6</v>
      </c>
      <c r="D42" s="48" t="s">
        <v>37</v>
      </c>
      <c r="E42" s="33">
        <v>8</v>
      </c>
      <c r="F42" s="49">
        <f>60*E42</f>
        <v>480</v>
      </c>
      <c r="J42" s="2"/>
    </row>
    <row r="43" spans="1:10" x14ac:dyDescent="0.25">
      <c r="A43" s="21">
        <v>44509</v>
      </c>
      <c r="B43" s="21">
        <v>44511</v>
      </c>
      <c r="C43" s="22" t="s">
        <v>6</v>
      </c>
      <c r="D43" s="9" t="s">
        <v>38</v>
      </c>
      <c r="E43" s="22">
        <v>7</v>
      </c>
      <c r="F43" s="23">
        <f>10*E43</f>
        <v>70</v>
      </c>
      <c r="J43" s="2"/>
    </row>
    <row r="44" spans="1:10" x14ac:dyDescent="0.25">
      <c r="A44" s="21">
        <v>44438</v>
      </c>
      <c r="B44" s="21">
        <v>44075</v>
      </c>
      <c r="C44" s="22" t="s">
        <v>6</v>
      </c>
      <c r="D44" s="9" t="s">
        <v>39</v>
      </c>
      <c r="E44" s="22">
        <v>23</v>
      </c>
      <c r="F44" s="23">
        <f>18.72*E44</f>
        <v>430.55999999999995</v>
      </c>
      <c r="J44" s="2"/>
    </row>
    <row r="45" spans="1:10" x14ac:dyDescent="0.25">
      <c r="A45" s="21">
        <v>44757</v>
      </c>
      <c r="B45" s="21">
        <v>44760</v>
      </c>
      <c r="C45" s="22" t="s">
        <v>6</v>
      </c>
      <c r="D45" s="9" t="s">
        <v>40</v>
      </c>
      <c r="E45" s="22">
        <v>6</v>
      </c>
      <c r="F45" s="23">
        <f>6*18.59</f>
        <v>111.53999999999999</v>
      </c>
      <c r="J45" s="2"/>
    </row>
    <row r="46" spans="1:10" ht="25.5" x14ac:dyDescent="0.25">
      <c r="A46" s="21">
        <v>44051</v>
      </c>
      <c r="B46" s="21">
        <v>44051</v>
      </c>
      <c r="C46" s="22" t="s">
        <v>6</v>
      </c>
      <c r="D46" s="9" t="s">
        <v>41</v>
      </c>
      <c r="E46" s="22">
        <v>8</v>
      </c>
      <c r="F46" s="23">
        <f>36*E46</f>
        <v>288</v>
      </c>
      <c r="J46" s="2"/>
    </row>
    <row r="47" spans="1:10" x14ac:dyDescent="0.25">
      <c r="A47" s="21">
        <v>44257</v>
      </c>
      <c r="B47" s="21">
        <v>44284</v>
      </c>
      <c r="C47" s="22" t="s">
        <v>6</v>
      </c>
      <c r="D47" s="9" t="s">
        <v>42</v>
      </c>
      <c r="E47" s="22">
        <v>1</v>
      </c>
      <c r="F47" s="23">
        <f>875*E47</f>
        <v>875</v>
      </c>
      <c r="J47" s="2"/>
    </row>
    <row r="48" spans="1:10" x14ac:dyDescent="0.25">
      <c r="A48" s="21">
        <v>44418</v>
      </c>
      <c r="B48" s="21">
        <v>44053</v>
      </c>
      <c r="C48" s="22" t="s">
        <v>6</v>
      </c>
      <c r="D48" s="9" t="s">
        <v>43</v>
      </c>
      <c r="E48" s="22">
        <v>8</v>
      </c>
      <c r="F48" s="23">
        <f>390*8</f>
        <v>3120</v>
      </c>
      <c r="J48" s="2"/>
    </row>
    <row r="49" spans="1:10" x14ac:dyDescent="0.25">
      <c r="A49" s="21">
        <v>45105</v>
      </c>
      <c r="B49" s="21">
        <v>45105</v>
      </c>
      <c r="C49" s="22" t="s">
        <v>6</v>
      </c>
      <c r="D49" s="9" t="s">
        <v>44</v>
      </c>
      <c r="E49" s="22">
        <v>6</v>
      </c>
      <c r="F49" s="23">
        <f>137.29*E49</f>
        <v>823.74</v>
      </c>
      <c r="J49" s="2"/>
    </row>
    <row r="50" spans="1:10" x14ac:dyDescent="0.25">
      <c r="A50" s="21">
        <v>44056</v>
      </c>
      <c r="B50" s="21">
        <v>44056</v>
      </c>
      <c r="C50" s="22" t="s">
        <v>6</v>
      </c>
      <c r="D50" s="9" t="s">
        <v>45</v>
      </c>
      <c r="E50" s="22">
        <v>1</v>
      </c>
      <c r="F50" s="23">
        <f>300*1</f>
        <v>300</v>
      </c>
      <c r="J50" s="2"/>
    </row>
    <row r="51" spans="1:10" x14ac:dyDescent="0.25">
      <c r="A51" s="21">
        <v>45105</v>
      </c>
      <c r="B51" s="21">
        <v>45105</v>
      </c>
      <c r="C51" s="22" t="s">
        <v>6</v>
      </c>
      <c r="D51" s="9" t="s">
        <v>46</v>
      </c>
      <c r="E51" s="22">
        <v>16</v>
      </c>
      <c r="F51" s="23">
        <f>79.32*E51</f>
        <v>1269.1199999999999</v>
      </c>
      <c r="J51" s="2"/>
    </row>
    <row r="52" spans="1:10" x14ac:dyDescent="0.25">
      <c r="A52" s="21">
        <v>44257</v>
      </c>
      <c r="B52" s="21">
        <v>44284</v>
      </c>
      <c r="C52" s="22" t="s">
        <v>6</v>
      </c>
      <c r="D52" s="9" t="s">
        <v>47</v>
      </c>
      <c r="E52" s="22">
        <v>6</v>
      </c>
      <c r="F52" s="23">
        <f>E52*420</f>
        <v>2520</v>
      </c>
      <c r="J52" s="2"/>
    </row>
    <row r="53" spans="1:10" x14ac:dyDescent="0.25">
      <c r="A53" s="21">
        <v>44257</v>
      </c>
      <c r="B53" s="21">
        <v>44284</v>
      </c>
      <c r="C53" s="22" t="s">
        <v>6</v>
      </c>
      <c r="D53" s="9" t="s">
        <v>48</v>
      </c>
      <c r="E53" s="22">
        <v>3</v>
      </c>
      <c r="F53" s="23">
        <f>205*E53</f>
        <v>615</v>
      </c>
      <c r="J53" s="2"/>
    </row>
    <row r="54" spans="1:10" x14ac:dyDescent="0.25">
      <c r="A54" s="21">
        <v>45105</v>
      </c>
      <c r="B54" s="21">
        <v>45105</v>
      </c>
      <c r="C54" s="22" t="s">
        <v>6</v>
      </c>
      <c r="D54" s="9" t="s">
        <v>49</v>
      </c>
      <c r="E54" s="22">
        <v>7</v>
      </c>
      <c r="F54" s="23">
        <f>391.53*E54</f>
        <v>2740.71</v>
      </c>
      <c r="J54" s="2"/>
    </row>
    <row r="55" spans="1:10" x14ac:dyDescent="0.25">
      <c r="A55" s="21">
        <v>44757</v>
      </c>
      <c r="B55" s="21">
        <v>44760</v>
      </c>
      <c r="C55" s="22" t="s">
        <v>6</v>
      </c>
      <c r="D55" s="9" t="s">
        <v>50</v>
      </c>
      <c r="E55" s="22">
        <v>6</v>
      </c>
      <c r="F55" s="23">
        <f>40.5*E55</f>
        <v>243</v>
      </c>
      <c r="J55" s="2"/>
    </row>
    <row r="56" spans="1:10" x14ac:dyDescent="0.25">
      <c r="A56" s="21">
        <v>45105</v>
      </c>
      <c r="B56" s="21">
        <v>45105</v>
      </c>
      <c r="C56" s="22" t="s">
        <v>6</v>
      </c>
      <c r="D56" s="9" t="s">
        <v>51</v>
      </c>
      <c r="E56" s="22">
        <v>10</v>
      </c>
      <c r="F56" s="23">
        <f>45.76*E56</f>
        <v>457.59999999999997</v>
      </c>
      <c r="J56" s="2"/>
    </row>
    <row r="57" spans="1:10" x14ac:dyDescent="0.25">
      <c r="A57" s="21">
        <v>45105</v>
      </c>
      <c r="B57" s="21">
        <v>45105</v>
      </c>
      <c r="C57" s="22" t="s">
        <v>6</v>
      </c>
      <c r="D57" s="9" t="s">
        <v>52</v>
      </c>
      <c r="E57" s="22">
        <v>4</v>
      </c>
      <c r="F57" s="23">
        <f>322.65*4</f>
        <v>1290.5999999999999</v>
      </c>
      <c r="J57" s="2"/>
    </row>
    <row r="58" spans="1:10" x14ac:dyDescent="0.25">
      <c r="A58" s="21">
        <v>44438</v>
      </c>
      <c r="B58" s="21">
        <v>44075</v>
      </c>
      <c r="C58" s="22" t="s">
        <v>6</v>
      </c>
      <c r="D58" s="9" t="s">
        <v>53</v>
      </c>
      <c r="E58" s="22">
        <v>1</v>
      </c>
      <c r="F58" s="23">
        <f>134.08*E58</f>
        <v>134.08000000000001</v>
      </c>
      <c r="J58" s="2"/>
    </row>
    <row r="59" spans="1:10" x14ac:dyDescent="0.25">
      <c r="A59" s="21">
        <v>43881</v>
      </c>
      <c r="B59" s="21">
        <v>43881</v>
      </c>
      <c r="C59" s="22" t="s">
        <v>6</v>
      </c>
      <c r="D59" s="9" t="s">
        <v>54</v>
      </c>
      <c r="E59" s="22">
        <v>11</v>
      </c>
      <c r="F59" s="23">
        <f>45*11</f>
        <v>495</v>
      </c>
      <c r="J59" s="2"/>
    </row>
    <row r="60" spans="1:10" x14ac:dyDescent="0.25">
      <c r="A60" s="21">
        <v>45105</v>
      </c>
      <c r="B60" s="21">
        <v>45105</v>
      </c>
      <c r="C60" s="22" t="s">
        <v>6</v>
      </c>
      <c r="D60" s="9" t="s">
        <v>55</v>
      </c>
      <c r="E60" s="22">
        <v>8</v>
      </c>
      <c r="F60" s="23">
        <f>8*76.27</f>
        <v>610.16</v>
      </c>
      <c r="J60" s="2"/>
    </row>
    <row r="61" spans="1:10" x14ac:dyDescent="0.25">
      <c r="A61" s="21">
        <v>45105</v>
      </c>
      <c r="B61" s="21">
        <v>45105</v>
      </c>
      <c r="C61" s="22" t="s">
        <v>6</v>
      </c>
      <c r="D61" s="9" t="s">
        <v>56</v>
      </c>
      <c r="E61" s="22">
        <v>40</v>
      </c>
      <c r="F61" s="23">
        <f>42.24*E61</f>
        <v>1689.6000000000001</v>
      </c>
      <c r="J61" s="2"/>
    </row>
    <row r="62" spans="1:10" x14ac:dyDescent="0.25">
      <c r="A62" s="21">
        <v>45105</v>
      </c>
      <c r="B62" s="21">
        <v>45105</v>
      </c>
      <c r="C62" s="22" t="s">
        <v>6</v>
      </c>
      <c r="D62" s="9" t="s">
        <v>57</v>
      </c>
      <c r="E62" s="22">
        <v>61</v>
      </c>
      <c r="F62" s="23">
        <f>32.54*E62</f>
        <v>1984.94</v>
      </c>
      <c r="J62" s="2"/>
    </row>
    <row r="63" spans="1:10" x14ac:dyDescent="0.25">
      <c r="A63" s="21">
        <v>45105</v>
      </c>
      <c r="B63" s="21">
        <v>45105</v>
      </c>
      <c r="C63" s="22" t="s">
        <v>6</v>
      </c>
      <c r="D63" s="9" t="s">
        <v>58</v>
      </c>
      <c r="E63" s="22">
        <v>11</v>
      </c>
      <c r="F63" s="23">
        <f>106.78*E63</f>
        <v>1174.58</v>
      </c>
      <c r="J63" s="2"/>
    </row>
    <row r="64" spans="1:10" ht="25.5" x14ac:dyDescent="0.25">
      <c r="A64" s="21">
        <v>45105</v>
      </c>
      <c r="B64" s="21">
        <v>45105</v>
      </c>
      <c r="C64" s="22" t="s">
        <v>6</v>
      </c>
      <c r="D64" s="9" t="s">
        <v>59</v>
      </c>
      <c r="E64" s="29" t="s">
        <v>148</v>
      </c>
      <c r="F64" s="30">
        <f>1.5*260</f>
        <v>390</v>
      </c>
      <c r="J64" s="2"/>
    </row>
    <row r="65" spans="1:10" ht="25.5" x14ac:dyDescent="0.25">
      <c r="A65" s="21">
        <v>45105</v>
      </c>
      <c r="B65" s="21">
        <v>45105</v>
      </c>
      <c r="C65" s="22" t="s">
        <v>6</v>
      </c>
      <c r="D65" s="9" t="s">
        <v>60</v>
      </c>
      <c r="E65" s="31">
        <v>0.5</v>
      </c>
      <c r="F65" s="23">
        <f>0.5*260</f>
        <v>130</v>
      </c>
      <c r="J65" s="2"/>
    </row>
    <row r="66" spans="1:10" ht="25.5" x14ac:dyDescent="0.25">
      <c r="A66" s="21">
        <v>44438</v>
      </c>
      <c r="B66" s="21">
        <v>44075</v>
      </c>
      <c r="C66" s="22" t="s">
        <v>6</v>
      </c>
      <c r="D66" s="9" t="s">
        <v>61</v>
      </c>
      <c r="E66" s="31">
        <v>0.5</v>
      </c>
      <c r="F66" s="23">
        <f>226*E66</f>
        <v>113</v>
      </c>
      <c r="J66" s="2"/>
    </row>
    <row r="67" spans="1:10" ht="25.5" x14ac:dyDescent="0.25">
      <c r="A67" s="21">
        <v>44257</v>
      </c>
      <c r="B67" s="21">
        <v>44284</v>
      </c>
      <c r="C67" s="22" t="s">
        <v>6</v>
      </c>
      <c r="D67" s="9" t="s">
        <v>62</v>
      </c>
      <c r="E67" s="22">
        <v>3</v>
      </c>
      <c r="F67" s="23">
        <f>2022*3</f>
        <v>6066</v>
      </c>
      <c r="J67" s="2"/>
    </row>
    <row r="68" spans="1:10" ht="25.5" x14ac:dyDescent="0.25">
      <c r="A68" s="21">
        <v>44257</v>
      </c>
      <c r="B68" s="21">
        <v>44284</v>
      </c>
      <c r="C68" s="22" t="s">
        <v>6</v>
      </c>
      <c r="D68" s="9" t="s">
        <v>63</v>
      </c>
      <c r="E68" s="22">
        <v>2</v>
      </c>
      <c r="F68" s="23">
        <f>2022*2</f>
        <v>4044</v>
      </c>
      <c r="J68" s="2"/>
    </row>
    <row r="69" spans="1:10" x14ac:dyDescent="0.25">
      <c r="A69" s="21">
        <v>44438</v>
      </c>
      <c r="B69" s="21">
        <v>44075</v>
      </c>
      <c r="C69" s="22" t="s">
        <v>6</v>
      </c>
      <c r="D69" s="9" t="s">
        <v>64</v>
      </c>
      <c r="E69" s="22">
        <v>3</v>
      </c>
      <c r="F69" s="23">
        <f>219.86*E69</f>
        <v>659.58</v>
      </c>
      <c r="J69" s="2"/>
    </row>
    <row r="70" spans="1:10" ht="25.5" x14ac:dyDescent="0.25">
      <c r="A70" s="21">
        <v>44257</v>
      </c>
      <c r="B70" s="21">
        <v>44284</v>
      </c>
      <c r="C70" s="22" t="s">
        <v>6</v>
      </c>
      <c r="D70" s="9" t="s">
        <v>65</v>
      </c>
      <c r="E70" s="22">
        <v>2</v>
      </c>
      <c r="F70" s="23">
        <f>532*E70</f>
        <v>1064</v>
      </c>
      <c r="J70" s="2"/>
    </row>
    <row r="71" spans="1:10" ht="25.5" x14ac:dyDescent="0.25">
      <c r="A71" s="21">
        <v>44757</v>
      </c>
      <c r="B71" s="21">
        <v>44760</v>
      </c>
      <c r="C71" s="22" t="s">
        <v>6</v>
      </c>
      <c r="D71" s="9" t="s">
        <v>66</v>
      </c>
      <c r="E71" s="22">
        <v>2</v>
      </c>
      <c r="F71" s="23">
        <f>2*265</f>
        <v>530</v>
      </c>
      <c r="J71" s="2"/>
    </row>
    <row r="72" spans="1:10" ht="25.5" x14ac:dyDescent="0.25">
      <c r="A72" s="21">
        <v>44757</v>
      </c>
      <c r="B72" s="21">
        <v>44760</v>
      </c>
      <c r="C72" s="22" t="s">
        <v>6</v>
      </c>
      <c r="D72" s="9" t="s">
        <v>67</v>
      </c>
      <c r="E72" s="22">
        <v>2.5</v>
      </c>
      <c r="F72" s="23">
        <v>765</v>
      </c>
      <c r="J72" s="2"/>
    </row>
    <row r="73" spans="1:10" x14ac:dyDescent="0.25">
      <c r="A73" s="21">
        <v>44438</v>
      </c>
      <c r="B73" s="21">
        <v>44075</v>
      </c>
      <c r="C73" s="22" t="s">
        <v>6</v>
      </c>
      <c r="D73" s="9" t="s">
        <v>68</v>
      </c>
      <c r="E73" s="32">
        <v>11</v>
      </c>
      <c r="F73" s="9">
        <f>72.2*E73</f>
        <v>794.2</v>
      </c>
      <c r="J73" s="4"/>
    </row>
    <row r="74" spans="1:10" x14ac:dyDescent="0.25">
      <c r="A74" s="21">
        <v>44438</v>
      </c>
      <c r="B74" s="21">
        <v>44075</v>
      </c>
      <c r="C74" s="22" t="s">
        <v>6</v>
      </c>
      <c r="D74" s="9" t="s">
        <v>69</v>
      </c>
      <c r="E74" s="22">
        <v>22</v>
      </c>
      <c r="F74" s="23">
        <f>22*72.2</f>
        <v>1588.4</v>
      </c>
      <c r="J74" s="2"/>
    </row>
    <row r="75" spans="1:10" ht="39" customHeight="1" x14ac:dyDescent="0.25">
      <c r="A75" s="21">
        <v>44257</v>
      </c>
      <c r="B75" s="21">
        <v>44284</v>
      </c>
      <c r="C75" s="22" t="s">
        <v>6</v>
      </c>
      <c r="D75" s="9" t="s">
        <v>70</v>
      </c>
      <c r="E75" s="22">
        <v>3</v>
      </c>
      <c r="F75" s="23">
        <f>1450*3</f>
        <v>4350</v>
      </c>
      <c r="J75" s="2"/>
    </row>
    <row r="76" spans="1:10" ht="18.75" customHeight="1" x14ac:dyDescent="0.25">
      <c r="A76" s="21">
        <v>44757</v>
      </c>
      <c r="B76" s="21">
        <v>44760</v>
      </c>
      <c r="C76" s="22" t="s">
        <v>6</v>
      </c>
      <c r="D76" s="9" t="s">
        <v>71</v>
      </c>
      <c r="E76" s="22">
        <v>0</v>
      </c>
      <c r="F76" s="23">
        <f>162*E76</f>
        <v>0</v>
      </c>
      <c r="J76" s="2"/>
    </row>
    <row r="77" spans="1:10" x14ac:dyDescent="0.25">
      <c r="A77" s="21">
        <v>44438</v>
      </c>
      <c r="B77" s="21">
        <v>44075</v>
      </c>
      <c r="C77" s="22" t="s">
        <v>6</v>
      </c>
      <c r="D77" s="9" t="s">
        <v>72</v>
      </c>
      <c r="E77" s="22">
        <v>20</v>
      </c>
      <c r="F77" s="23">
        <f>38*E77</f>
        <v>760</v>
      </c>
      <c r="J77" s="2"/>
    </row>
    <row r="78" spans="1:10" ht="25.5" x14ac:dyDescent="0.25">
      <c r="A78" s="21">
        <v>45105</v>
      </c>
      <c r="B78" s="21">
        <v>45105</v>
      </c>
      <c r="C78" s="22" t="s">
        <v>6</v>
      </c>
      <c r="D78" s="9" t="s">
        <v>138</v>
      </c>
      <c r="E78" s="22">
        <v>0</v>
      </c>
      <c r="F78" s="23"/>
      <c r="J78" s="2"/>
    </row>
    <row r="79" spans="1:10" ht="25.5" x14ac:dyDescent="0.25">
      <c r="A79" s="21">
        <v>45105</v>
      </c>
      <c r="B79" s="21">
        <v>45105</v>
      </c>
      <c r="C79" s="22" t="s">
        <v>6</v>
      </c>
      <c r="D79" s="9" t="s">
        <v>136</v>
      </c>
      <c r="E79" s="33">
        <v>0</v>
      </c>
      <c r="F79" s="23">
        <v>0</v>
      </c>
      <c r="J79" s="2"/>
    </row>
    <row r="80" spans="1:10" ht="25.5" x14ac:dyDescent="0.25">
      <c r="A80" s="21">
        <v>45105</v>
      </c>
      <c r="B80" s="21">
        <v>45105</v>
      </c>
      <c r="C80" s="22" t="s">
        <v>6</v>
      </c>
      <c r="D80" s="9" t="s">
        <v>137</v>
      </c>
      <c r="E80" s="22">
        <v>0</v>
      </c>
      <c r="F80" s="23">
        <v>0</v>
      </c>
      <c r="J80" s="2"/>
    </row>
    <row r="81" spans="1:10" ht="25.5" x14ac:dyDescent="0.25">
      <c r="A81" s="21">
        <v>44757</v>
      </c>
      <c r="B81" s="21">
        <v>44760</v>
      </c>
      <c r="C81" s="22" t="s">
        <v>6</v>
      </c>
      <c r="D81" s="9" t="s">
        <v>91</v>
      </c>
      <c r="E81" s="34">
        <v>1</v>
      </c>
      <c r="F81" s="23">
        <f>797.5*E81</f>
        <v>797.5</v>
      </c>
      <c r="J81" s="2"/>
    </row>
    <row r="82" spans="1:10" x14ac:dyDescent="0.25">
      <c r="A82" s="21">
        <v>44028</v>
      </c>
      <c r="B82" s="21">
        <v>44351</v>
      </c>
      <c r="C82" s="22" t="s">
        <v>6</v>
      </c>
      <c r="D82" s="9" t="s">
        <v>73</v>
      </c>
      <c r="E82" s="22">
        <v>6</v>
      </c>
      <c r="F82" s="23">
        <f>25*6</f>
        <v>150</v>
      </c>
      <c r="J82" s="2"/>
    </row>
    <row r="83" spans="1:10" ht="32.25" customHeight="1" x14ac:dyDescent="0.25">
      <c r="A83" s="21">
        <v>44757</v>
      </c>
      <c r="B83" s="21">
        <v>44760</v>
      </c>
      <c r="C83" s="22" t="s">
        <v>6</v>
      </c>
      <c r="D83" s="9" t="s">
        <v>74</v>
      </c>
      <c r="E83" s="22">
        <v>1</v>
      </c>
      <c r="F83" s="23">
        <f>325*E83</f>
        <v>325</v>
      </c>
      <c r="J83" s="2"/>
    </row>
    <row r="84" spans="1:10" x14ac:dyDescent="0.25">
      <c r="A84" s="21">
        <v>44438</v>
      </c>
      <c r="B84" s="21">
        <v>44075</v>
      </c>
      <c r="C84" s="22" t="s">
        <v>6</v>
      </c>
      <c r="D84" s="9" t="s">
        <v>75</v>
      </c>
      <c r="E84" s="22">
        <v>1</v>
      </c>
      <c r="F84" s="23">
        <v>220</v>
      </c>
      <c r="J84" s="2"/>
    </row>
    <row r="85" spans="1:10" ht="25.5" x14ac:dyDescent="0.25">
      <c r="A85" s="21">
        <v>44757</v>
      </c>
      <c r="B85" s="21">
        <v>44760</v>
      </c>
      <c r="C85" s="22" t="s">
        <v>6</v>
      </c>
      <c r="D85" s="9" t="s">
        <v>76</v>
      </c>
      <c r="E85" s="22">
        <v>2</v>
      </c>
      <c r="F85" s="23">
        <f>484*E85</f>
        <v>968</v>
      </c>
      <c r="J85" s="2"/>
    </row>
    <row r="86" spans="1:10" ht="33.75" customHeight="1" x14ac:dyDescent="0.25">
      <c r="A86" s="21">
        <v>44757</v>
      </c>
      <c r="B86" s="21">
        <v>44760</v>
      </c>
      <c r="C86" s="22" t="s">
        <v>6</v>
      </c>
      <c r="D86" s="9" t="s">
        <v>77</v>
      </c>
      <c r="E86" s="22">
        <v>2</v>
      </c>
      <c r="F86" s="23">
        <f>685.9*E86</f>
        <v>1371.8</v>
      </c>
      <c r="J86" s="2"/>
    </row>
    <row r="87" spans="1:10" ht="33.75" customHeight="1" x14ac:dyDescent="0.25">
      <c r="A87" s="21">
        <v>44757</v>
      </c>
      <c r="B87" s="21">
        <v>44760</v>
      </c>
      <c r="C87" s="22" t="s">
        <v>6</v>
      </c>
      <c r="D87" s="9" t="s">
        <v>78</v>
      </c>
      <c r="E87" s="22">
        <v>1</v>
      </c>
      <c r="F87" s="23">
        <f>757.5*1</f>
        <v>757.5</v>
      </c>
      <c r="J87" s="2"/>
    </row>
    <row r="88" spans="1:10" ht="33.75" customHeight="1" x14ac:dyDescent="0.25">
      <c r="A88" s="21">
        <v>45135</v>
      </c>
      <c r="B88" s="21">
        <v>45125</v>
      </c>
      <c r="C88" s="22" t="s">
        <v>6</v>
      </c>
      <c r="D88" s="9" t="s">
        <v>152</v>
      </c>
      <c r="E88" s="22">
        <v>2</v>
      </c>
      <c r="F88" s="23">
        <f>2*F86</f>
        <v>2743.6</v>
      </c>
      <c r="J88" s="2"/>
    </row>
    <row r="89" spans="1:10" ht="48.75" customHeight="1" x14ac:dyDescent="0.25">
      <c r="A89" s="21">
        <v>45105</v>
      </c>
      <c r="B89" s="21">
        <v>45105</v>
      </c>
      <c r="C89" s="22" t="s">
        <v>6</v>
      </c>
      <c r="D89" s="9" t="s">
        <v>141</v>
      </c>
      <c r="E89" s="22">
        <v>2</v>
      </c>
      <c r="F89" s="23">
        <f>E89*594.92</f>
        <v>1189.8399999999999</v>
      </c>
      <c r="J89" s="2"/>
    </row>
    <row r="90" spans="1:10" ht="34.5" customHeight="1" x14ac:dyDescent="0.25">
      <c r="A90" s="21">
        <v>45105</v>
      </c>
      <c r="B90" s="21">
        <v>45105</v>
      </c>
      <c r="C90" s="22" t="s">
        <v>6</v>
      </c>
      <c r="D90" s="9" t="s">
        <v>134</v>
      </c>
      <c r="E90" s="22">
        <v>2</v>
      </c>
      <c r="F90" s="23">
        <f>2*758.77</f>
        <v>1517.54</v>
      </c>
      <c r="J90" s="2"/>
    </row>
    <row r="91" spans="1:10" ht="36.75" customHeight="1" x14ac:dyDescent="0.25">
      <c r="A91" s="21">
        <v>44438</v>
      </c>
      <c r="B91" s="21">
        <v>44075</v>
      </c>
      <c r="C91" s="22" t="s">
        <v>6</v>
      </c>
      <c r="D91" s="9" t="s">
        <v>135</v>
      </c>
      <c r="E91" s="22">
        <v>0</v>
      </c>
      <c r="F91" s="23">
        <v>0</v>
      </c>
      <c r="J91" s="2"/>
    </row>
    <row r="92" spans="1:10" x14ac:dyDescent="0.25">
      <c r="A92" s="21">
        <v>44438</v>
      </c>
      <c r="B92" s="21">
        <v>44075</v>
      </c>
      <c r="C92" s="22" t="s">
        <v>6</v>
      </c>
      <c r="D92" s="9" t="s">
        <v>79</v>
      </c>
      <c r="E92" s="22">
        <v>5</v>
      </c>
      <c r="F92" s="23">
        <f>26.52*5</f>
        <v>132.6</v>
      </c>
      <c r="J92" s="2"/>
    </row>
    <row r="93" spans="1:10" ht="25.5" x14ac:dyDescent="0.25">
      <c r="A93" s="21">
        <v>44438</v>
      </c>
      <c r="B93" s="21">
        <v>44075</v>
      </c>
      <c r="C93" s="22" t="s">
        <v>6</v>
      </c>
      <c r="D93" s="9" t="s">
        <v>80</v>
      </c>
      <c r="E93" s="22">
        <v>3</v>
      </c>
      <c r="F93" s="23">
        <f>250*E93</f>
        <v>750</v>
      </c>
      <c r="J93" s="2"/>
    </row>
    <row r="94" spans="1:10" x14ac:dyDescent="0.25">
      <c r="A94" s="21">
        <v>44438</v>
      </c>
      <c r="B94" s="21">
        <v>44075</v>
      </c>
      <c r="C94" s="22" t="s">
        <v>6</v>
      </c>
      <c r="D94" s="9" t="s">
        <v>81</v>
      </c>
      <c r="E94" s="22">
        <v>2</v>
      </c>
      <c r="F94" s="23">
        <f>2*65</f>
        <v>130</v>
      </c>
      <c r="J94" s="2"/>
    </row>
    <row r="95" spans="1:10" x14ac:dyDescent="0.25">
      <c r="A95" s="21">
        <v>44438</v>
      </c>
      <c r="B95" s="21">
        <v>44075</v>
      </c>
      <c r="C95" s="22" t="s">
        <v>6</v>
      </c>
      <c r="D95" s="9" t="s">
        <v>82</v>
      </c>
      <c r="E95" s="22">
        <v>6</v>
      </c>
      <c r="F95" s="9">
        <f>39*6</f>
        <v>234</v>
      </c>
      <c r="J95" s="4"/>
    </row>
    <row r="96" spans="1:10" x14ac:dyDescent="0.25">
      <c r="A96" s="21">
        <v>44438</v>
      </c>
      <c r="B96" s="21">
        <v>44075</v>
      </c>
      <c r="C96" s="22" t="s">
        <v>6</v>
      </c>
      <c r="D96" s="9" t="s">
        <v>83</v>
      </c>
      <c r="E96" s="22">
        <v>0</v>
      </c>
      <c r="F96" s="23">
        <f>66.14*E96</f>
        <v>0</v>
      </c>
      <c r="J96" s="2"/>
    </row>
    <row r="97" spans="1:10" ht="21" customHeight="1" x14ac:dyDescent="0.25">
      <c r="A97" s="21">
        <v>45105</v>
      </c>
      <c r="B97" s="21">
        <v>45105</v>
      </c>
      <c r="C97" s="22" t="s">
        <v>6</v>
      </c>
      <c r="D97" s="9" t="s">
        <v>84</v>
      </c>
      <c r="E97" s="22">
        <v>2</v>
      </c>
      <c r="F97" s="23">
        <f>147.46*E97</f>
        <v>294.92</v>
      </c>
      <c r="J97" s="2"/>
    </row>
    <row r="98" spans="1:10" x14ac:dyDescent="0.25">
      <c r="A98" s="21">
        <v>44757</v>
      </c>
      <c r="B98" s="21">
        <v>44760</v>
      </c>
      <c r="C98" s="22" t="s">
        <v>6</v>
      </c>
      <c r="D98" s="9" t="s">
        <v>85</v>
      </c>
      <c r="E98" s="22">
        <v>0</v>
      </c>
      <c r="F98" s="23">
        <f>86*E98</f>
        <v>0</v>
      </c>
      <c r="J98" s="2"/>
    </row>
    <row r="99" spans="1:10" x14ac:dyDescent="0.25">
      <c r="A99" s="21">
        <v>44757</v>
      </c>
      <c r="B99" s="21">
        <v>44760</v>
      </c>
      <c r="C99" s="22" t="s">
        <v>6</v>
      </c>
      <c r="D99" s="9" t="s">
        <v>86</v>
      </c>
      <c r="E99" s="22">
        <v>0</v>
      </c>
      <c r="F99" s="23">
        <f>3360*E99</f>
        <v>0</v>
      </c>
      <c r="J99" s="2"/>
    </row>
    <row r="100" spans="1:10" ht="38.25" x14ac:dyDescent="0.25">
      <c r="A100" s="21" t="s">
        <v>87</v>
      </c>
      <c r="B100" s="21">
        <v>44603</v>
      </c>
      <c r="C100" s="22" t="s">
        <v>6</v>
      </c>
      <c r="D100" s="9" t="s">
        <v>88</v>
      </c>
      <c r="E100" s="22">
        <v>3</v>
      </c>
      <c r="F100" s="23">
        <f>150*E100</f>
        <v>450</v>
      </c>
      <c r="J100" s="2"/>
    </row>
    <row r="101" spans="1:10" ht="51" x14ac:dyDescent="0.25">
      <c r="A101" s="21" t="s">
        <v>87</v>
      </c>
      <c r="B101" s="21">
        <v>44603</v>
      </c>
      <c r="C101" s="22" t="s">
        <v>6</v>
      </c>
      <c r="D101" s="9" t="s">
        <v>89</v>
      </c>
      <c r="E101" s="22">
        <v>1</v>
      </c>
      <c r="F101" s="23">
        <f>150*E101</f>
        <v>150</v>
      </c>
      <c r="J101" s="2"/>
    </row>
    <row r="102" spans="1:10" ht="13.5" customHeight="1" x14ac:dyDescent="0.25">
      <c r="A102" s="13"/>
      <c r="B102" s="13"/>
      <c r="C102" s="34"/>
      <c r="D102" s="14"/>
      <c r="E102" s="35" t="s">
        <v>90</v>
      </c>
      <c r="F102" s="36">
        <f>SUM(F8:F101)</f>
        <v>302740.88499999995</v>
      </c>
      <c r="J102" s="7"/>
    </row>
    <row r="103" spans="1:10" ht="11.25" customHeight="1" x14ac:dyDescent="0.25">
      <c r="A103" s="13" t="s">
        <v>100</v>
      </c>
      <c r="B103" s="13"/>
      <c r="C103" s="34"/>
      <c r="D103" s="14"/>
      <c r="E103" s="34"/>
      <c r="F103" s="14"/>
    </row>
    <row r="104" spans="1:10" hidden="1" x14ac:dyDescent="0.25">
      <c r="A104" s="13"/>
      <c r="B104" s="13"/>
      <c r="C104" s="34"/>
      <c r="D104" s="14"/>
      <c r="E104" s="34"/>
      <c r="F104" s="14"/>
    </row>
    <row r="105" spans="1:10" ht="3.75" hidden="1" customHeight="1" x14ac:dyDescent="0.25">
      <c r="A105" s="13"/>
      <c r="B105" s="13"/>
      <c r="C105" s="34"/>
      <c r="D105" s="14"/>
      <c r="E105" s="34"/>
      <c r="F105" s="14"/>
    </row>
    <row r="106" spans="1:10" x14ac:dyDescent="0.25">
      <c r="A106" s="13"/>
      <c r="B106" s="13"/>
      <c r="C106" s="56" t="s">
        <v>142</v>
      </c>
      <c r="D106" s="56"/>
      <c r="E106" s="14"/>
      <c r="F106" s="14"/>
    </row>
    <row r="107" spans="1:10" x14ac:dyDescent="0.25">
      <c r="A107" s="13"/>
      <c r="B107" s="13"/>
      <c r="C107" s="57" t="s">
        <v>143</v>
      </c>
      <c r="D107" s="57"/>
      <c r="E107" s="14"/>
      <c r="F107" s="14"/>
    </row>
    <row r="108" spans="1:10" x14ac:dyDescent="0.25">
      <c r="A108" s="13"/>
      <c r="B108" s="13"/>
      <c r="C108" s="14"/>
      <c r="D108" s="14" t="s">
        <v>144</v>
      </c>
      <c r="E108" s="14"/>
      <c r="F108" s="14"/>
    </row>
  </sheetData>
  <mergeCells count="4">
    <mergeCell ref="A5:F5"/>
    <mergeCell ref="A6:F6"/>
    <mergeCell ref="C106:D106"/>
    <mergeCell ref="C107:D107"/>
  </mergeCells>
  <pageMargins left="0.7" right="0.7" top="0.75" bottom="0.75" header="0.3" footer="0.3"/>
  <pageSetup paperSize="9" orientation="portrait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abSelected="1" topLeftCell="A10" workbookViewId="0">
      <selection activeCell="F35" sqref="F35"/>
    </sheetView>
  </sheetViews>
  <sheetFormatPr baseColWidth="10" defaultRowHeight="15" x14ac:dyDescent="0.25"/>
  <cols>
    <col min="1" max="1" width="11.42578125" style="5"/>
    <col min="2" max="2" width="11" style="5" customWidth="1"/>
    <col min="3" max="3" width="11.42578125" style="6"/>
    <col min="4" max="4" width="20" customWidth="1"/>
    <col min="5" max="5" width="11.42578125" style="6"/>
    <col min="6" max="6" width="15.5703125" style="8" bestFit="1" customWidth="1"/>
    <col min="10" max="10" width="12" bestFit="1" customWidth="1"/>
  </cols>
  <sheetData>
    <row r="1" spans="1:10" x14ac:dyDescent="0.25">
      <c r="A1" s="13"/>
      <c r="B1" s="13"/>
      <c r="C1" s="34"/>
      <c r="D1" s="14"/>
      <c r="E1" s="34"/>
      <c r="F1" s="37"/>
    </row>
    <row r="2" spans="1:10" x14ac:dyDescent="0.25">
      <c r="A2" s="13"/>
      <c r="B2" s="13"/>
      <c r="C2" s="34"/>
      <c r="D2" s="14"/>
      <c r="E2" s="34"/>
      <c r="F2" s="37"/>
    </row>
    <row r="3" spans="1:10" x14ac:dyDescent="0.25">
      <c r="A3" s="13"/>
      <c r="B3" s="13"/>
      <c r="C3" s="34"/>
      <c r="D3" s="14"/>
      <c r="E3" s="34"/>
      <c r="F3" s="37"/>
    </row>
    <row r="4" spans="1:10" x14ac:dyDescent="0.25">
      <c r="A4" s="13"/>
      <c r="B4" s="13"/>
      <c r="C4" s="34"/>
      <c r="D4" s="14"/>
      <c r="E4" s="34"/>
      <c r="F4" s="37"/>
    </row>
    <row r="5" spans="1:10" ht="15.75" x14ac:dyDescent="0.25">
      <c r="A5" s="54" t="s">
        <v>149</v>
      </c>
      <c r="B5" s="54"/>
      <c r="C5" s="54"/>
      <c r="D5" s="54"/>
      <c r="E5" s="54"/>
      <c r="F5" s="54"/>
    </row>
    <row r="6" spans="1:10" ht="15.75" x14ac:dyDescent="0.25">
      <c r="A6" s="58" t="s">
        <v>92</v>
      </c>
      <c r="B6" s="58"/>
      <c r="C6" s="58"/>
      <c r="D6" s="58"/>
      <c r="E6" s="58"/>
      <c r="F6" s="58"/>
    </row>
    <row r="7" spans="1:10" ht="25.5" x14ac:dyDescent="0.25">
      <c r="A7" s="11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</row>
    <row r="8" spans="1:10" x14ac:dyDescent="0.25">
      <c r="A8" s="21">
        <v>45225</v>
      </c>
      <c r="B8" s="21">
        <v>45226</v>
      </c>
      <c r="C8" s="22" t="s">
        <v>6</v>
      </c>
      <c r="D8" s="9" t="s">
        <v>93</v>
      </c>
      <c r="E8" s="31">
        <v>5.5</v>
      </c>
      <c r="F8" s="23">
        <f>1120*E8</f>
        <v>6160</v>
      </c>
    </row>
    <row r="9" spans="1:10" ht="25.5" x14ac:dyDescent="0.25">
      <c r="A9" s="21">
        <v>45225</v>
      </c>
      <c r="B9" s="21">
        <v>45226</v>
      </c>
      <c r="C9" s="22" t="s">
        <v>6</v>
      </c>
      <c r="D9" s="9" t="s">
        <v>94</v>
      </c>
      <c r="E9" s="31">
        <v>3.5</v>
      </c>
      <c r="F9" s="23">
        <f>1120*E9</f>
        <v>3920</v>
      </c>
    </row>
    <row r="10" spans="1:10" ht="25.5" x14ac:dyDescent="0.25">
      <c r="A10" s="21">
        <v>45225</v>
      </c>
      <c r="B10" s="21">
        <v>45226</v>
      </c>
      <c r="C10" s="22" t="s">
        <v>6</v>
      </c>
      <c r="D10" s="9" t="s">
        <v>95</v>
      </c>
      <c r="E10" s="29" t="s">
        <v>148</v>
      </c>
      <c r="F10" s="23">
        <f>E10*1325</f>
        <v>1987.5</v>
      </c>
    </row>
    <row r="11" spans="1:10" x14ac:dyDescent="0.25">
      <c r="A11" s="21">
        <v>45225</v>
      </c>
      <c r="B11" s="21">
        <v>45226</v>
      </c>
      <c r="C11" s="22" t="s">
        <v>6</v>
      </c>
      <c r="D11" s="9" t="s">
        <v>131</v>
      </c>
      <c r="E11" s="29" t="s">
        <v>156</v>
      </c>
      <c r="F11" s="23">
        <f>235*29</f>
        <v>6815</v>
      </c>
    </row>
    <row r="12" spans="1:10" ht="25.5" x14ac:dyDescent="0.25">
      <c r="A12" s="21">
        <v>45225</v>
      </c>
      <c r="B12" s="21">
        <v>45226</v>
      </c>
      <c r="C12" s="22" t="s">
        <v>6</v>
      </c>
      <c r="D12" s="9" t="s">
        <v>96</v>
      </c>
      <c r="E12" s="31">
        <v>3</v>
      </c>
      <c r="F12" s="23">
        <f>E12*1120</f>
        <v>3360</v>
      </c>
    </row>
    <row r="13" spans="1:10" ht="25.5" x14ac:dyDescent="0.25">
      <c r="A13" s="21">
        <v>44992</v>
      </c>
      <c r="B13" s="21">
        <v>44993</v>
      </c>
      <c r="C13" s="22" t="s">
        <v>6</v>
      </c>
      <c r="D13" s="9" t="s">
        <v>97</v>
      </c>
      <c r="E13" s="31">
        <v>0</v>
      </c>
      <c r="F13" s="23">
        <f>2400*E13</f>
        <v>0</v>
      </c>
    </row>
    <row r="14" spans="1:10" x14ac:dyDescent="0.25">
      <c r="A14" s="21">
        <v>45225</v>
      </c>
      <c r="B14" s="21">
        <v>45226</v>
      </c>
      <c r="C14" s="22" t="s">
        <v>6</v>
      </c>
      <c r="D14" s="9" t="s">
        <v>98</v>
      </c>
      <c r="E14" s="31">
        <v>1.5</v>
      </c>
      <c r="F14" s="23">
        <f>2695*1.5</f>
        <v>4042.5</v>
      </c>
    </row>
    <row r="15" spans="1:10" x14ac:dyDescent="0.25">
      <c r="A15" s="21">
        <v>45089</v>
      </c>
      <c r="B15" s="21">
        <v>45089</v>
      </c>
      <c r="C15" s="22" t="s">
        <v>6</v>
      </c>
      <c r="D15" s="9" t="s">
        <v>99</v>
      </c>
      <c r="E15" s="31">
        <v>2</v>
      </c>
      <c r="F15" s="23">
        <f>2*4325</f>
        <v>8650</v>
      </c>
      <c r="J15" t="s">
        <v>100</v>
      </c>
    </row>
    <row r="16" spans="1:10" ht="25.5" x14ac:dyDescent="0.25">
      <c r="A16" s="21">
        <v>45225</v>
      </c>
      <c r="B16" s="21">
        <v>45226</v>
      </c>
      <c r="C16" s="22" t="s">
        <v>6</v>
      </c>
      <c r="D16" s="9" t="s">
        <v>145</v>
      </c>
      <c r="E16" s="31">
        <v>2</v>
      </c>
      <c r="F16" s="23">
        <f>2*3685</f>
        <v>7370</v>
      </c>
    </row>
    <row r="17" spans="1:6" ht="25.5" x14ac:dyDescent="0.25">
      <c r="A17" s="21">
        <v>45225</v>
      </c>
      <c r="B17" s="21">
        <v>45226</v>
      </c>
      <c r="C17" s="22" t="s">
        <v>6</v>
      </c>
      <c r="D17" s="9" t="s">
        <v>153</v>
      </c>
      <c r="E17" s="31">
        <v>2</v>
      </c>
      <c r="F17" s="23">
        <f>2*1125</f>
        <v>2250</v>
      </c>
    </row>
    <row r="18" spans="1:6" ht="25.5" x14ac:dyDescent="0.25">
      <c r="A18" s="21">
        <v>45225</v>
      </c>
      <c r="B18" s="21">
        <v>45226</v>
      </c>
      <c r="C18" s="22" t="s">
        <v>6</v>
      </c>
      <c r="D18" s="9" t="s">
        <v>101</v>
      </c>
      <c r="E18" s="31">
        <v>0</v>
      </c>
      <c r="F18" s="23">
        <v>0</v>
      </c>
    </row>
    <row r="19" spans="1:6" x14ac:dyDescent="0.25">
      <c r="A19" s="21">
        <v>45225</v>
      </c>
      <c r="B19" s="21">
        <v>45226</v>
      </c>
      <c r="C19" s="22" t="s">
        <v>6</v>
      </c>
      <c r="D19" s="9" t="s">
        <v>102</v>
      </c>
      <c r="E19" s="22">
        <v>11</v>
      </c>
      <c r="F19" s="23">
        <f>295*E19</f>
        <v>3245</v>
      </c>
    </row>
    <row r="20" spans="1:6" x14ac:dyDescent="0.25">
      <c r="A20" s="21">
        <v>45225</v>
      </c>
      <c r="B20" s="21">
        <v>45226</v>
      </c>
      <c r="C20" s="22" t="s">
        <v>6</v>
      </c>
      <c r="D20" s="9" t="s">
        <v>103</v>
      </c>
      <c r="E20" s="31">
        <v>7</v>
      </c>
      <c r="F20" s="23">
        <f>196*E20</f>
        <v>1372</v>
      </c>
    </row>
    <row r="21" spans="1:6" x14ac:dyDescent="0.25">
      <c r="A21" s="21">
        <v>44886</v>
      </c>
      <c r="B21" s="21">
        <v>44890</v>
      </c>
      <c r="C21" s="22" t="s">
        <v>6</v>
      </c>
      <c r="D21" s="9" t="s">
        <v>104</v>
      </c>
      <c r="E21" s="22">
        <v>10</v>
      </c>
      <c r="F21" s="23">
        <f>10*245</f>
        <v>2450</v>
      </c>
    </row>
    <row r="22" spans="1:6" ht="30.75" customHeight="1" x14ac:dyDescent="0.25">
      <c r="A22" s="21">
        <v>44886</v>
      </c>
      <c r="B22" s="21">
        <v>44890</v>
      </c>
      <c r="C22" s="22" t="s">
        <v>6</v>
      </c>
      <c r="D22" s="9" t="s">
        <v>105</v>
      </c>
      <c r="E22" s="22">
        <v>1</v>
      </c>
      <c r="F22" s="23">
        <f>238.33*1</f>
        <v>238.33</v>
      </c>
    </row>
    <row r="23" spans="1:6" x14ac:dyDescent="0.25">
      <c r="A23" s="21">
        <v>45089</v>
      </c>
      <c r="B23" s="21">
        <v>45089</v>
      </c>
      <c r="C23" s="22" t="s">
        <v>6</v>
      </c>
      <c r="D23" s="9" t="s">
        <v>106</v>
      </c>
      <c r="E23" s="22">
        <v>4</v>
      </c>
      <c r="F23" s="23">
        <f>126*E23</f>
        <v>504</v>
      </c>
    </row>
    <row r="24" spans="1:6" x14ac:dyDescent="0.25">
      <c r="A24" s="21">
        <v>45225</v>
      </c>
      <c r="B24" s="21">
        <v>45226</v>
      </c>
      <c r="C24" s="22" t="s">
        <v>6</v>
      </c>
      <c r="D24" s="9" t="s">
        <v>107</v>
      </c>
      <c r="E24" s="31">
        <v>1</v>
      </c>
      <c r="F24" s="23">
        <f>1225*E24</f>
        <v>1225</v>
      </c>
    </row>
    <row r="25" spans="1:6" x14ac:dyDescent="0.25">
      <c r="A25" s="21">
        <v>45225</v>
      </c>
      <c r="B25" s="21">
        <v>45226</v>
      </c>
      <c r="C25" s="22" t="s">
        <v>6</v>
      </c>
      <c r="D25" s="9" t="s">
        <v>108</v>
      </c>
      <c r="E25" s="22">
        <v>13</v>
      </c>
      <c r="F25" s="23">
        <f>346*E25</f>
        <v>4498</v>
      </c>
    </row>
    <row r="26" spans="1:6" ht="28.5" customHeight="1" x14ac:dyDescent="0.25">
      <c r="A26" s="21">
        <v>45089</v>
      </c>
      <c r="B26" s="21">
        <v>45089</v>
      </c>
      <c r="C26" s="22" t="s">
        <v>6</v>
      </c>
      <c r="D26" s="9" t="s">
        <v>109</v>
      </c>
      <c r="E26" s="22">
        <v>1.5</v>
      </c>
      <c r="F26" s="23">
        <f>1.5*294.92</f>
        <v>442.38</v>
      </c>
    </row>
    <row r="27" spans="1:6" x14ac:dyDescent="0.25">
      <c r="A27" s="21">
        <v>44606</v>
      </c>
      <c r="B27" s="21">
        <v>44890</v>
      </c>
      <c r="C27" s="22" t="s">
        <v>6</v>
      </c>
      <c r="D27" s="9" t="s">
        <v>110</v>
      </c>
      <c r="E27" s="22">
        <v>2</v>
      </c>
      <c r="F27" s="23">
        <f>1.5*360</f>
        <v>540</v>
      </c>
    </row>
    <row r="28" spans="1:6" ht="25.5" x14ac:dyDescent="0.25">
      <c r="A28" s="21">
        <v>44886</v>
      </c>
      <c r="B28" s="21">
        <v>44890</v>
      </c>
      <c r="C28" s="22" t="s">
        <v>6</v>
      </c>
      <c r="D28" s="9" t="s">
        <v>111</v>
      </c>
      <c r="E28" s="31">
        <v>1</v>
      </c>
      <c r="F28" s="23">
        <f>1271.19*1</f>
        <v>1271.19</v>
      </c>
    </row>
    <row r="29" spans="1:6" x14ac:dyDescent="0.25">
      <c r="A29" s="21">
        <v>44606</v>
      </c>
      <c r="B29" s="21">
        <v>44890</v>
      </c>
      <c r="C29" s="22" t="s">
        <v>6</v>
      </c>
      <c r="D29" s="9" t="s">
        <v>112</v>
      </c>
      <c r="E29" s="22">
        <v>3</v>
      </c>
      <c r="F29" s="23">
        <f>206.66*E29</f>
        <v>619.98</v>
      </c>
    </row>
    <row r="30" spans="1:6" x14ac:dyDescent="0.25">
      <c r="A30" s="21">
        <v>44886</v>
      </c>
      <c r="B30" s="21">
        <v>44890</v>
      </c>
      <c r="C30" s="22" t="s">
        <v>6</v>
      </c>
      <c r="D30" s="9" t="s">
        <v>113</v>
      </c>
      <c r="E30" s="22">
        <v>5</v>
      </c>
      <c r="F30" s="23">
        <f>850*E30</f>
        <v>4250</v>
      </c>
    </row>
    <row r="31" spans="1:6" ht="25.5" x14ac:dyDescent="0.25">
      <c r="A31" s="21">
        <v>45089</v>
      </c>
      <c r="B31" s="21">
        <v>45089</v>
      </c>
      <c r="C31" s="22" t="s">
        <v>6</v>
      </c>
      <c r="D31" s="9" t="s">
        <v>140</v>
      </c>
      <c r="E31" s="22">
        <v>12</v>
      </c>
      <c r="F31" s="23">
        <f>12*29.4</f>
        <v>352.79999999999995</v>
      </c>
    </row>
    <row r="32" spans="1:6" x14ac:dyDescent="0.25">
      <c r="A32" s="21">
        <v>45089</v>
      </c>
      <c r="B32" s="21">
        <v>45089</v>
      </c>
      <c r="C32" s="22" t="s">
        <v>6</v>
      </c>
      <c r="D32" s="9" t="s">
        <v>114</v>
      </c>
      <c r="E32" s="31">
        <v>3</v>
      </c>
      <c r="F32" s="23">
        <f>650.85*E32</f>
        <v>1952.5500000000002</v>
      </c>
    </row>
    <row r="33" spans="1:6" x14ac:dyDescent="0.25">
      <c r="A33" s="21">
        <v>45089</v>
      </c>
      <c r="B33" s="21">
        <v>45089</v>
      </c>
      <c r="C33" s="22" t="s">
        <v>6</v>
      </c>
      <c r="D33" s="9" t="s">
        <v>115</v>
      </c>
      <c r="E33" s="22">
        <v>0</v>
      </c>
      <c r="F33" s="23">
        <f>249.15*E33</f>
        <v>0</v>
      </c>
    </row>
    <row r="34" spans="1:6" x14ac:dyDescent="0.25">
      <c r="A34" s="21">
        <v>45089</v>
      </c>
      <c r="B34" s="21">
        <v>45089</v>
      </c>
      <c r="C34" s="22" t="s">
        <v>6</v>
      </c>
      <c r="D34" s="9" t="s">
        <v>132</v>
      </c>
      <c r="E34" s="22">
        <v>1</v>
      </c>
      <c r="F34" s="23">
        <f>1*289.83</f>
        <v>289.83</v>
      </c>
    </row>
    <row r="35" spans="1:6" x14ac:dyDescent="0.25">
      <c r="A35" s="21">
        <v>45089</v>
      </c>
      <c r="B35" s="21">
        <v>45089</v>
      </c>
      <c r="C35" s="22" t="s">
        <v>6</v>
      </c>
      <c r="D35" s="9" t="s">
        <v>116</v>
      </c>
      <c r="E35" s="22">
        <v>4</v>
      </c>
      <c r="F35" s="23">
        <f>4*201.36</f>
        <v>805.44</v>
      </c>
    </row>
    <row r="36" spans="1:6" x14ac:dyDescent="0.25">
      <c r="A36" s="21">
        <v>45089</v>
      </c>
      <c r="B36" s="21">
        <v>45089</v>
      </c>
      <c r="C36" s="22" t="s">
        <v>6</v>
      </c>
      <c r="D36" s="9" t="s">
        <v>117</v>
      </c>
      <c r="E36" s="22">
        <v>4</v>
      </c>
      <c r="F36" s="23">
        <f>4*45.76</f>
        <v>183.04</v>
      </c>
    </row>
    <row r="37" spans="1:6" x14ac:dyDescent="0.25">
      <c r="A37" s="21">
        <v>45089</v>
      </c>
      <c r="B37" s="21">
        <v>45089</v>
      </c>
      <c r="C37" s="22" t="s">
        <v>6</v>
      </c>
      <c r="D37" s="9" t="s">
        <v>139</v>
      </c>
      <c r="E37" s="22">
        <v>3</v>
      </c>
      <c r="F37" s="23">
        <f>3*127.12</f>
        <v>381.36</v>
      </c>
    </row>
    <row r="38" spans="1:6" x14ac:dyDescent="0.25">
      <c r="A38" s="21">
        <v>45089</v>
      </c>
      <c r="B38" s="21">
        <v>45089</v>
      </c>
      <c r="C38" s="22" t="s">
        <v>154</v>
      </c>
      <c r="D38" s="9" t="s">
        <v>155</v>
      </c>
      <c r="E38" s="22">
        <v>6</v>
      </c>
      <c r="F38" s="23">
        <f>135*3</f>
        <v>405</v>
      </c>
    </row>
    <row r="39" spans="1:6" x14ac:dyDescent="0.25">
      <c r="A39" s="21">
        <v>45089</v>
      </c>
      <c r="B39" s="21">
        <v>45089</v>
      </c>
      <c r="C39" s="22" t="s">
        <v>6</v>
      </c>
      <c r="D39" s="9" t="s">
        <v>118</v>
      </c>
      <c r="E39" s="22">
        <v>0</v>
      </c>
      <c r="F39" s="23">
        <f>85*E39</f>
        <v>0</v>
      </c>
    </row>
    <row r="40" spans="1:6" x14ac:dyDescent="0.25">
      <c r="A40" s="26"/>
      <c r="B40" s="26"/>
      <c r="C40" s="27"/>
      <c r="D40" s="12"/>
      <c r="E40" s="38"/>
      <c r="F40" s="28"/>
    </row>
    <row r="41" spans="1:6" x14ac:dyDescent="0.25">
      <c r="A41" s="26"/>
      <c r="B41" s="26"/>
      <c r="C41" s="27"/>
      <c r="D41" s="12"/>
      <c r="E41" s="38"/>
      <c r="F41" s="28"/>
    </row>
    <row r="42" spans="1:6" ht="27.75" customHeight="1" x14ac:dyDescent="0.25">
      <c r="A42" s="26"/>
      <c r="B42" s="26"/>
      <c r="C42" s="27"/>
      <c r="D42" s="12"/>
      <c r="E42" s="38"/>
      <c r="F42" s="28"/>
    </row>
    <row r="43" spans="1:6" ht="21" customHeight="1" x14ac:dyDescent="0.25">
      <c r="A43" s="26"/>
      <c r="B43" s="39"/>
      <c r="C43" s="27"/>
      <c r="D43" s="12"/>
      <c r="E43" s="27"/>
      <c r="F43" s="28"/>
    </row>
    <row r="44" spans="1:6" ht="30.75" customHeight="1" x14ac:dyDescent="0.25">
      <c r="A44" s="40">
        <v>45225</v>
      </c>
      <c r="B44" s="41" t="s">
        <v>146</v>
      </c>
      <c r="C44" s="42" t="s">
        <v>6</v>
      </c>
      <c r="D44" s="43" t="s">
        <v>121</v>
      </c>
      <c r="E44" s="42">
        <v>0</v>
      </c>
      <c r="F44" s="44"/>
    </row>
    <row r="45" spans="1:6" ht="30.75" customHeight="1" x14ac:dyDescent="0.25">
      <c r="A45" s="40">
        <v>45225</v>
      </c>
      <c r="B45" s="41" t="s">
        <v>146</v>
      </c>
      <c r="C45" s="42" t="s">
        <v>6</v>
      </c>
      <c r="D45" s="43" t="s">
        <v>119</v>
      </c>
      <c r="E45" s="42">
        <v>4</v>
      </c>
      <c r="F45" s="44">
        <f>4*458</f>
        <v>1832</v>
      </c>
    </row>
    <row r="46" spans="1:6" ht="30.75" customHeight="1" x14ac:dyDescent="0.25">
      <c r="A46" s="40">
        <v>45225</v>
      </c>
      <c r="B46" s="41" t="s">
        <v>146</v>
      </c>
      <c r="C46" s="42" t="s">
        <v>6</v>
      </c>
      <c r="D46" s="43" t="s">
        <v>147</v>
      </c>
      <c r="E46" s="42">
        <v>1</v>
      </c>
      <c r="F46" s="44">
        <f>1*388</f>
        <v>388</v>
      </c>
    </row>
    <row r="47" spans="1:6" ht="30.75" customHeight="1" x14ac:dyDescent="0.25">
      <c r="A47" s="40">
        <v>45225</v>
      </c>
      <c r="B47" s="41" t="s">
        <v>146</v>
      </c>
      <c r="C47" s="42" t="s">
        <v>6</v>
      </c>
      <c r="D47" s="43" t="s">
        <v>120</v>
      </c>
      <c r="E47" s="42">
        <v>2</v>
      </c>
      <c r="F47" s="44">
        <f>2*420</f>
        <v>840</v>
      </c>
    </row>
    <row r="48" spans="1:6" x14ac:dyDescent="0.25">
      <c r="A48" s="21">
        <v>45089</v>
      </c>
      <c r="B48" s="21">
        <v>45089</v>
      </c>
      <c r="C48" s="22" t="s">
        <v>6</v>
      </c>
      <c r="D48" s="9" t="s">
        <v>122</v>
      </c>
      <c r="E48" s="22">
        <v>9</v>
      </c>
      <c r="F48" s="23">
        <f>96.61*E48</f>
        <v>869.49</v>
      </c>
    </row>
    <row r="49" spans="1:6" x14ac:dyDescent="0.25">
      <c r="A49" s="21">
        <v>45225</v>
      </c>
      <c r="B49" s="21">
        <v>45226</v>
      </c>
      <c r="C49" s="22" t="s">
        <v>6</v>
      </c>
      <c r="D49" s="9" t="s">
        <v>123</v>
      </c>
      <c r="E49" s="22">
        <v>0</v>
      </c>
      <c r="F49" s="23">
        <f>10*62</f>
        <v>620</v>
      </c>
    </row>
    <row r="50" spans="1:6" x14ac:dyDescent="0.25">
      <c r="A50" s="21">
        <v>45225</v>
      </c>
      <c r="B50" s="21">
        <v>45226</v>
      </c>
      <c r="C50" s="22" t="s">
        <v>6</v>
      </c>
      <c r="D50" s="9" t="s">
        <v>124</v>
      </c>
      <c r="E50" s="22">
        <v>15</v>
      </c>
      <c r="F50" s="23">
        <f>15*112</f>
        <v>1680</v>
      </c>
    </row>
    <row r="51" spans="1:6" x14ac:dyDescent="0.25">
      <c r="A51" s="21">
        <v>45089</v>
      </c>
      <c r="B51" s="21">
        <v>45089</v>
      </c>
      <c r="C51" s="22" t="s">
        <v>6</v>
      </c>
      <c r="D51" s="9" t="s">
        <v>125</v>
      </c>
      <c r="E51" s="22">
        <v>4</v>
      </c>
      <c r="F51" s="23">
        <f>350.85*E51</f>
        <v>1403.4</v>
      </c>
    </row>
    <row r="52" spans="1:6" x14ac:dyDescent="0.25">
      <c r="A52" s="21">
        <v>44886</v>
      </c>
      <c r="B52" s="21">
        <v>44890</v>
      </c>
      <c r="C52" s="22" t="s">
        <v>6</v>
      </c>
      <c r="D52" s="9" t="s">
        <v>126</v>
      </c>
      <c r="E52" s="22">
        <v>3</v>
      </c>
      <c r="F52" s="23">
        <f>265*E52</f>
        <v>795</v>
      </c>
    </row>
    <row r="53" spans="1:6" x14ac:dyDescent="0.25">
      <c r="A53" s="21">
        <v>45225</v>
      </c>
      <c r="B53" s="21">
        <v>45226</v>
      </c>
      <c r="C53" s="22" t="s">
        <v>6</v>
      </c>
      <c r="D53" s="9" t="s">
        <v>127</v>
      </c>
      <c r="E53" s="22">
        <v>11</v>
      </c>
      <c r="F53" s="23">
        <f>E53*70</f>
        <v>770</v>
      </c>
    </row>
    <row r="54" spans="1:6" ht="25.5" x14ac:dyDescent="0.25">
      <c r="A54" s="21">
        <v>44552</v>
      </c>
      <c r="B54" s="21">
        <v>44890</v>
      </c>
      <c r="C54" s="22" t="s">
        <v>6</v>
      </c>
      <c r="D54" s="9" t="s">
        <v>128</v>
      </c>
      <c r="E54" s="22">
        <v>1</v>
      </c>
      <c r="F54" s="23">
        <v>975</v>
      </c>
    </row>
    <row r="55" spans="1:6" x14ac:dyDescent="0.25">
      <c r="A55" s="21">
        <v>44886</v>
      </c>
      <c r="B55" s="21">
        <v>44890</v>
      </c>
      <c r="C55" s="22" t="s">
        <v>6</v>
      </c>
      <c r="D55" s="9" t="s">
        <v>133</v>
      </c>
      <c r="E55" s="22">
        <v>0.5</v>
      </c>
      <c r="F55" s="23">
        <f>0.3*600</f>
        <v>180</v>
      </c>
    </row>
    <row r="56" spans="1:6" ht="25.5" x14ac:dyDescent="0.25">
      <c r="A56" s="21">
        <v>44886</v>
      </c>
      <c r="B56" s="21">
        <v>44890</v>
      </c>
      <c r="C56" s="22" t="s">
        <v>6</v>
      </c>
      <c r="D56" s="9" t="s">
        <v>130</v>
      </c>
      <c r="E56" s="22"/>
      <c r="F56" s="23"/>
    </row>
    <row r="57" spans="1:6" x14ac:dyDescent="0.25">
      <c r="A57" s="26"/>
      <c r="B57" s="13"/>
      <c r="C57" s="34"/>
      <c r="D57" s="14"/>
      <c r="E57" s="45" t="s">
        <v>90</v>
      </c>
      <c r="F57" s="46">
        <f>SUM(F8:F56)</f>
        <v>79933.790000000008</v>
      </c>
    </row>
    <row r="58" spans="1:6" x14ac:dyDescent="0.25">
      <c r="A58" s="13"/>
      <c r="B58" s="13"/>
      <c r="C58" s="34"/>
      <c r="D58" s="14"/>
      <c r="E58" s="14"/>
      <c r="F58" s="14"/>
    </row>
    <row r="59" spans="1:6" x14ac:dyDescent="0.25">
      <c r="A59" s="13"/>
      <c r="B59" s="13"/>
      <c r="C59" s="34"/>
      <c r="D59" s="14"/>
      <c r="E59" s="14"/>
      <c r="F59" s="14"/>
    </row>
    <row r="60" spans="1:6" x14ac:dyDescent="0.25">
      <c r="A60" s="13"/>
      <c r="B60" s="13"/>
      <c r="C60" s="34"/>
      <c r="D60" s="14"/>
      <c r="E60" s="14"/>
      <c r="F60" s="14"/>
    </row>
    <row r="61" spans="1:6" x14ac:dyDescent="0.25">
      <c r="A61" s="13"/>
      <c r="B61" s="13"/>
      <c r="C61" s="34"/>
      <c r="D61" s="14"/>
      <c r="E61" s="14"/>
      <c r="F61" s="14"/>
    </row>
    <row r="62" spans="1:6" x14ac:dyDescent="0.25">
      <c r="A62" s="13"/>
      <c r="B62" s="13"/>
      <c r="C62" s="56" t="s">
        <v>142</v>
      </c>
      <c r="D62" s="56"/>
      <c r="E62" s="14"/>
      <c r="F62" s="14"/>
    </row>
    <row r="63" spans="1:6" x14ac:dyDescent="0.25">
      <c r="A63" s="13"/>
      <c r="B63" s="13"/>
      <c r="C63" s="57" t="s">
        <v>143</v>
      </c>
      <c r="D63" s="57"/>
      <c r="E63" s="14"/>
      <c r="F63" s="14"/>
    </row>
    <row r="64" spans="1:6" x14ac:dyDescent="0.25">
      <c r="A64" s="13"/>
      <c r="B64" s="13"/>
      <c r="C64" s="34"/>
      <c r="D64" s="14"/>
      <c r="E64" s="14"/>
      <c r="F64" s="14"/>
    </row>
    <row r="65" spans="1:6" x14ac:dyDescent="0.25">
      <c r="A65" s="13"/>
      <c r="B65" s="13"/>
      <c r="C65" s="14"/>
      <c r="D65" s="14"/>
      <c r="E65" s="14"/>
      <c r="F65" s="14"/>
    </row>
    <row r="66" spans="1:6" x14ac:dyDescent="0.25">
      <c r="A66" s="13"/>
      <c r="B66" s="13"/>
      <c r="C66" s="14"/>
      <c r="D66" s="14"/>
      <c r="E66" s="14"/>
      <c r="F66" s="14"/>
    </row>
    <row r="67" spans="1:6" x14ac:dyDescent="0.25">
      <c r="C67"/>
      <c r="E67"/>
      <c r="F67"/>
    </row>
    <row r="68" spans="1:6" x14ac:dyDescent="0.25">
      <c r="C68"/>
      <c r="E68"/>
      <c r="F68"/>
    </row>
    <row r="69" spans="1:6" x14ac:dyDescent="0.25">
      <c r="C69"/>
      <c r="E69"/>
      <c r="F69"/>
    </row>
    <row r="70" spans="1:6" x14ac:dyDescent="0.25">
      <c r="C70"/>
      <c r="E70"/>
      <c r="F70"/>
    </row>
    <row r="71" spans="1:6" x14ac:dyDescent="0.25">
      <c r="C71"/>
      <c r="E71"/>
      <c r="F71"/>
    </row>
    <row r="72" spans="1:6" x14ac:dyDescent="0.25">
      <c r="C72"/>
      <c r="E72"/>
      <c r="F72"/>
    </row>
    <row r="73" spans="1:6" x14ac:dyDescent="0.25">
      <c r="C73"/>
      <c r="E73"/>
      <c r="F73"/>
    </row>
  </sheetData>
  <mergeCells count="4">
    <mergeCell ref="A5:F5"/>
    <mergeCell ref="A6:F6"/>
    <mergeCell ref="C62:D62"/>
    <mergeCell ref="C63:D63"/>
  </mergeCells>
  <pageMargins left="0.7" right="0.7" top="0.75" bottom="0.75" header="0.3" footer="0.3"/>
  <pageSetup paperSize="9" orientation="portrait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 de oficina</vt:lpstr>
      <vt:lpstr>Materiales de limpieza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Genrales</dc:creator>
  <cp:lastModifiedBy>Arianna P. Montilla</cp:lastModifiedBy>
  <cp:lastPrinted>2024-01-04T15:07:05Z</cp:lastPrinted>
  <dcterms:created xsi:type="dcterms:W3CDTF">2022-11-08T18:27:14Z</dcterms:created>
  <dcterms:modified xsi:type="dcterms:W3CDTF">2024-01-04T15:07:06Z</dcterms:modified>
</cp:coreProperties>
</file>